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WattWash Projects\Wattopia\2023-14 Verbouwstromen Huurteam\02 activiteiten\MEER-regeling\Middelen Tranche 2\"/>
    </mc:Choice>
  </mc:AlternateContent>
  <xr:revisionPtr revIDLastSave="0" documentId="13_ncr:1_{653C5F2D-1E90-4B08-B5E8-F5F0F1942EB2}" xr6:coauthVersionLast="47" xr6:coauthVersionMax="47" xr10:uidLastSave="{00000000-0000-0000-0000-000000000000}"/>
  <bookViews>
    <workbookView xWindow="3760" yWindow="0" windowWidth="35520" windowHeight="20880" activeTab="7" xr2:uid="{D7AB4A6F-9B75-4FAC-AE2F-FC01649EEA3B}"/>
  </bookViews>
  <sheets>
    <sheet name="toelichting" sheetId="11" r:id="rId1"/>
    <sheet name="invoer_aanpakken" sheetId="10" r:id="rId2"/>
    <sheet name="invoer_woningen" sheetId="1" r:id="rId3"/>
    <sheet name="resultaat" sheetId="4" r:id="rId4"/>
    <sheet name="kengetallen_woningen" sheetId="2" state="hidden" r:id="rId5"/>
    <sheet name="kengetallen_materialen" sheetId="7" state="hidden" r:id="rId6"/>
    <sheet name="kengetallen_energielasten" sheetId="13" state="hidden" r:id="rId7"/>
    <sheet name="bijlage - huishoudelijk gebruik" sheetId="12" r:id="rId8"/>
  </sheets>
  <definedNames>
    <definedName name="_xlnm._FilterDatabase" localSheetId="4" hidden="1">kengetallen_woningen!$J$270:$M$511</definedName>
    <definedName name="Bouwdeel">kengetallen_materialen!$A$1:$E$1</definedName>
    <definedName name="Dakisolatie">kengetallen_materialen!$B$2:$B$10</definedName>
    <definedName name="Duurzame_energie_opwekker">kengetallen_materialen!$H$2:$H$7</definedName>
    <definedName name="Gevelisolatie">kengetallen_materialen!$A$2:$A$13</definedName>
    <definedName name="Isolatieglas">kengetallen_materialen!$D$2:$D$5</definedName>
    <definedName name="Koudemiddel">kengetallen_materialen!$J$2:$J$10</definedName>
    <definedName name="Kozijn">kengetallen_materialen!$E$2:$E$5</definedName>
    <definedName name="Verwarmingsinstallatie">kengetallen_materialen!$F$2:$F$6</definedName>
    <definedName name="Vloer_of_Bodemisolatie">kengetallen_materialen!$C$2:$C$11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4" l="1"/>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B276" i="2"/>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P9" i="1"/>
  <c r="P8" i="1"/>
  <c r="P7" i="1"/>
  <c r="W37" i="4"/>
  <c r="W36" i="4"/>
  <c r="W35" i="4"/>
  <c r="W34" i="4"/>
  <c r="W33" i="4"/>
  <c r="W32" i="4"/>
  <c r="W31" i="4"/>
  <c r="W30" i="4"/>
  <c r="W29" i="4"/>
  <c r="W28" i="4"/>
  <c r="W27" i="4"/>
  <c r="W26" i="4"/>
  <c r="W25" i="4"/>
  <c r="W24" i="4"/>
  <c r="W23" i="4"/>
  <c r="W22" i="4"/>
  <c r="W21" i="4"/>
  <c r="W20" i="4"/>
  <c r="W19" i="4"/>
  <c r="W18" i="4"/>
  <c r="W17" i="4"/>
  <c r="W16" i="4"/>
  <c r="W15" i="4"/>
  <c r="W14" i="4"/>
  <c r="W13" i="4"/>
  <c r="W12" i="4"/>
  <c r="W11" i="4"/>
  <c r="W10" i="4"/>
  <c r="W9" i="4"/>
  <c r="W8" i="4"/>
  <c r="W7" i="4"/>
  <c r="E276" i="2" l="1" a="1"/>
  <c r="E276" i="2" s="1"/>
  <c r="X37" i="4" l="1"/>
  <c r="X36" i="4"/>
  <c r="X35" i="4"/>
  <c r="X34" i="4"/>
  <c r="X33" i="4"/>
  <c r="X32" i="4"/>
  <c r="X31" i="4"/>
  <c r="X30" i="4"/>
  <c r="X29" i="4"/>
  <c r="X28" i="4"/>
  <c r="X27" i="4"/>
  <c r="X26" i="4"/>
  <c r="X25" i="4"/>
  <c r="X24" i="4"/>
  <c r="X23" i="4"/>
  <c r="X22" i="4"/>
  <c r="X21" i="4"/>
  <c r="X20" i="4"/>
  <c r="X19" i="4"/>
  <c r="X18" i="4"/>
  <c r="X17" i="4"/>
  <c r="X16" i="4"/>
  <c r="X15" i="4"/>
  <c r="X14" i="4"/>
  <c r="X13" i="4"/>
  <c r="X12" i="4"/>
  <c r="X11" i="4"/>
  <c r="X10" i="4"/>
  <c r="X9" i="4"/>
  <c r="X8" i="4"/>
  <c r="X7" i="4"/>
  <c r="Y37" i="4"/>
  <c r="Y36" i="4"/>
  <c r="Y35" i="4"/>
  <c r="Y34" i="4"/>
  <c r="Y33" i="4"/>
  <c r="Y32" i="4"/>
  <c r="Y31" i="4"/>
  <c r="Y30" i="4"/>
  <c r="Y29" i="4"/>
  <c r="Y28" i="4"/>
  <c r="Y27" i="4"/>
  <c r="Y26" i="4"/>
  <c r="Y25" i="4"/>
  <c r="Y24" i="4"/>
  <c r="Y23" i="4"/>
  <c r="Y22" i="4"/>
  <c r="Y21" i="4"/>
  <c r="Y20" i="4"/>
  <c r="Y19" i="4"/>
  <c r="Y18" i="4"/>
  <c r="Y17" i="4"/>
  <c r="Y16" i="4"/>
  <c r="Y15" i="4"/>
  <c r="Y14" i="4"/>
  <c r="Y13" i="4"/>
  <c r="Y12" i="4"/>
  <c r="Y11" i="4"/>
  <c r="Y10" i="4"/>
  <c r="Y9" i="4"/>
  <c r="Y8" i="4"/>
  <c r="Y7" i="4"/>
  <c r="D15" i="13"/>
  <c r="D14" i="13"/>
  <c r="D13" i="13"/>
  <c r="D12" i="13"/>
  <c r="D11" i="13"/>
  <c r="D10" i="13"/>
  <c r="D9" i="13"/>
  <c r="D8" i="13"/>
  <c r="D7" i="13"/>
  <c r="D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P5" i="1" l="1"/>
  <c r="P6" i="1"/>
  <c r="P4" i="1"/>
  <c r="Q37" i="1"/>
  <c r="D94" i="13" s="1"/>
  <c r="O37" i="1"/>
  <c r="N37" i="1"/>
  <c r="Q36" i="1"/>
  <c r="D93" i="13" s="1"/>
  <c r="O36" i="1"/>
  <c r="N36" i="1"/>
  <c r="Q35" i="1"/>
  <c r="D92" i="13" s="1"/>
  <c r="O35" i="1"/>
  <c r="N35" i="1"/>
  <c r="Q34" i="1"/>
  <c r="D91" i="13" s="1"/>
  <c r="O34" i="1"/>
  <c r="N34" i="1"/>
  <c r="Q33" i="1"/>
  <c r="D90" i="13" s="1"/>
  <c r="O33" i="1"/>
  <c r="N33" i="1"/>
  <c r="Q32" i="1"/>
  <c r="D89" i="13" s="1"/>
  <c r="O32" i="1"/>
  <c r="N32" i="1"/>
  <c r="Q31" i="1"/>
  <c r="D88" i="13" s="1"/>
  <c r="O31" i="1"/>
  <c r="N31" i="1"/>
  <c r="Q30" i="1"/>
  <c r="D87" i="13" s="1"/>
  <c r="O30" i="1"/>
  <c r="N30" i="1"/>
  <c r="Q29" i="1"/>
  <c r="D86" i="13" s="1"/>
  <c r="O29" i="1"/>
  <c r="N29" i="1"/>
  <c r="Q28" i="1"/>
  <c r="D85" i="13" s="1"/>
  <c r="O28" i="1"/>
  <c r="N28" i="1"/>
  <c r="Q27" i="1"/>
  <c r="D84" i="13" s="1"/>
  <c r="O27" i="1"/>
  <c r="N27" i="1"/>
  <c r="Q26" i="1"/>
  <c r="D83" i="13" s="1"/>
  <c r="O26" i="1"/>
  <c r="N26" i="1"/>
  <c r="Q25" i="1"/>
  <c r="D82" i="13" s="1"/>
  <c r="O25" i="1"/>
  <c r="N25" i="1"/>
  <c r="Q24" i="1"/>
  <c r="D81" i="13" s="1"/>
  <c r="O24" i="1"/>
  <c r="N24" i="1"/>
  <c r="Q23" i="1"/>
  <c r="D80" i="13" s="1"/>
  <c r="O23" i="1"/>
  <c r="N23" i="1"/>
  <c r="Q22" i="1"/>
  <c r="D79" i="13" s="1"/>
  <c r="O22" i="1"/>
  <c r="N22" i="1"/>
  <c r="Q21" i="1"/>
  <c r="D78" i="13" s="1"/>
  <c r="O21" i="1"/>
  <c r="N21" i="1"/>
  <c r="Q20" i="1"/>
  <c r="D77" i="13" s="1"/>
  <c r="O20" i="1"/>
  <c r="N20" i="1"/>
  <c r="Q19" i="1"/>
  <c r="D76" i="13" s="1"/>
  <c r="O19" i="1"/>
  <c r="N19" i="1"/>
  <c r="Q18" i="1"/>
  <c r="D75" i="13" s="1"/>
  <c r="O18" i="1"/>
  <c r="N18" i="1"/>
  <c r="Q17" i="1"/>
  <c r="D74" i="13" s="1"/>
  <c r="O17" i="1"/>
  <c r="N17" i="1"/>
  <c r="Q16" i="1"/>
  <c r="D73" i="13" s="1"/>
  <c r="O16" i="1"/>
  <c r="N16" i="1"/>
  <c r="Q15" i="1"/>
  <c r="D72" i="13" s="1"/>
  <c r="O15" i="1"/>
  <c r="N15" i="1"/>
  <c r="Q14" i="1"/>
  <c r="D71" i="13" s="1"/>
  <c r="O14" i="1"/>
  <c r="N14" i="1"/>
  <c r="Q13" i="1"/>
  <c r="D70" i="13" s="1"/>
  <c r="O13" i="1"/>
  <c r="N13" i="1"/>
  <c r="Q12" i="1"/>
  <c r="D69" i="13" s="1"/>
  <c r="O12" i="1"/>
  <c r="N12" i="1"/>
  <c r="Q11" i="1"/>
  <c r="D68" i="13" s="1"/>
  <c r="O11" i="1"/>
  <c r="N11" i="1"/>
  <c r="Q10" i="1"/>
  <c r="D67" i="13" s="1"/>
  <c r="O10" i="1"/>
  <c r="N10" i="1"/>
  <c r="Q9" i="1"/>
  <c r="D66" i="13" s="1"/>
  <c r="O9" i="1"/>
  <c r="N9" i="1"/>
  <c r="Q8" i="1"/>
  <c r="D65" i="13" s="1"/>
  <c r="O8" i="1"/>
  <c r="N8" i="1"/>
  <c r="Q7" i="1"/>
  <c r="D64" i="13" s="1"/>
  <c r="O7" i="1"/>
  <c r="N7" i="1"/>
  <c r="E15" i="13"/>
  <c r="C15" i="13"/>
  <c r="E14" i="13"/>
  <c r="C14" i="13"/>
  <c r="E13" i="13"/>
  <c r="C13" i="13"/>
  <c r="E12" i="13"/>
  <c r="C12" i="13"/>
  <c r="E11" i="13"/>
  <c r="C11" i="13"/>
  <c r="E10" i="13"/>
  <c r="C10" i="13"/>
  <c r="E9" i="13"/>
  <c r="C9" i="13"/>
  <c r="E8" i="13"/>
  <c r="C8" i="13"/>
  <c r="E7" i="13"/>
  <c r="C7" i="13"/>
  <c r="B15" i="13"/>
  <c r="B14" i="13"/>
  <c r="B13" i="13"/>
  <c r="B12" i="13"/>
  <c r="B11" i="13"/>
  <c r="B10" i="13"/>
  <c r="B9" i="13"/>
  <c r="B8" i="13"/>
  <c r="B7" i="13"/>
  <c r="E6" i="13"/>
  <c r="Q4" i="1" s="1"/>
  <c r="D61" i="13" s="1"/>
  <c r="C6" i="13"/>
  <c r="O4" i="1" s="1"/>
  <c r="B6" i="13"/>
  <c r="N4" i="1" s="1"/>
  <c r="O5" i="1" l="1"/>
  <c r="C65" i="13"/>
  <c r="F65" i="13"/>
  <c r="F68" i="13"/>
  <c r="C68" i="13"/>
  <c r="F71" i="13"/>
  <c r="C71" i="13"/>
  <c r="F74" i="13"/>
  <c r="C74" i="13"/>
  <c r="F77" i="13"/>
  <c r="C77" i="13"/>
  <c r="C80" i="13"/>
  <c r="F80" i="13"/>
  <c r="F83" i="13"/>
  <c r="C83" i="13"/>
  <c r="F86" i="13"/>
  <c r="C86" i="13"/>
  <c r="F89" i="13"/>
  <c r="C89" i="13"/>
  <c r="F92" i="13"/>
  <c r="C92" i="13"/>
  <c r="E61" i="13"/>
  <c r="B61" i="13"/>
  <c r="H61" i="13"/>
  <c r="G61" i="13"/>
  <c r="E66" i="13"/>
  <c r="B66" i="13"/>
  <c r="I66" i="13" s="1"/>
  <c r="J66" i="13" s="1"/>
  <c r="E69" i="13"/>
  <c r="B69" i="13"/>
  <c r="I69" i="13" s="1"/>
  <c r="J69" i="13" s="1"/>
  <c r="B72" i="13"/>
  <c r="I72" i="13" s="1"/>
  <c r="J72" i="13" s="1"/>
  <c r="E72" i="13"/>
  <c r="B75" i="13"/>
  <c r="I75" i="13" s="1"/>
  <c r="J75" i="13" s="1"/>
  <c r="E75" i="13"/>
  <c r="E78" i="13"/>
  <c r="B78" i="13"/>
  <c r="I78" i="13" s="1"/>
  <c r="J78" i="13" s="1"/>
  <c r="E81" i="13"/>
  <c r="B81" i="13"/>
  <c r="I81" i="13" s="1"/>
  <c r="J81" i="13" s="1"/>
  <c r="E84" i="13"/>
  <c r="B84" i="13"/>
  <c r="I84" i="13" s="1"/>
  <c r="J84" i="13" s="1"/>
  <c r="E87" i="13"/>
  <c r="B87" i="13"/>
  <c r="I87" i="13" s="1"/>
  <c r="J87" i="13" s="1"/>
  <c r="B90" i="13"/>
  <c r="I90" i="13" s="1"/>
  <c r="J90" i="13" s="1"/>
  <c r="E90" i="13"/>
  <c r="B93" i="13"/>
  <c r="I93" i="13" s="1"/>
  <c r="J93" i="13" s="1"/>
  <c r="E93" i="13"/>
  <c r="F61" i="13"/>
  <c r="C61" i="13"/>
  <c r="H66" i="13"/>
  <c r="G66" i="13"/>
  <c r="H69" i="13"/>
  <c r="G69" i="13"/>
  <c r="H72" i="13"/>
  <c r="G72" i="13"/>
  <c r="H75" i="13"/>
  <c r="G75" i="13"/>
  <c r="H78" i="13"/>
  <c r="G78" i="13"/>
  <c r="H81" i="13"/>
  <c r="G81" i="13"/>
  <c r="H84" i="13"/>
  <c r="G84" i="13"/>
  <c r="H87" i="13"/>
  <c r="G87" i="13"/>
  <c r="H90" i="13"/>
  <c r="G90" i="13"/>
  <c r="H93" i="13"/>
  <c r="G93" i="13"/>
  <c r="F66" i="13"/>
  <c r="C66" i="13"/>
  <c r="F69" i="13"/>
  <c r="C69" i="13"/>
  <c r="F72" i="13"/>
  <c r="C72" i="13"/>
  <c r="C75" i="13"/>
  <c r="F75" i="13"/>
  <c r="F78" i="13"/>
  <c r="C78" i="13"/>
  <c r="F81" i="13"/>
  <c r="C81" i="13"/>
  <c r="F84" i="13"/>
  <c r="C84" i="13"/>
  <c r="F87" i="13"/>
  <c r="C87" i="13"/>
  <c r="F90" i="13"/>
  <c r="C90" i="13"/>
  <c r="C93" i="13"/>
  <c r="F93" i="13"/>
  <c r="B64" i="13"/>
  <c r="E64" i="13"/>
  <c r="B67" i="13"/>
  <c r="I67" i="13" s="1"/>
  <c r="J67" i="13" s="1"/>
  <c r="E67" i="13"/>
  <c r="B70" i="13"/>
  <c r="I70" i="13" s="1"/>
  <c r="J70" i="13" s="1"/>
  <c r="E70" i="13"/>
  <c r="E73" i="13"/>
  <c r="B73" i="13"/>
  <c r="I73" i="13" s="1"/>
  <c r="J73" i="13" s="1"/>
  <c r="E76" i="13"/>
  <c r="B76" i="13"/>
  <c r="I76" i="13" s="1"/>
  <c r="J76" i="13" s="1"/>
  <c r="E79" i="13"/>
  <c r="B79" i="13"/>
  <c r="I79" i="13" s="1"/>
  <c r="J79" i="13" s="1"/>
  <c r="E82" i="13"/>
  <c r="B82" i="13"/>
  <c r="I82" i="13" s="1"/>
  <c r="J82" i="13" s="1"/>
  <c r="B85" i="13"/>
  <c r="I85" i="13" s="1"/>
  <c r="J85" i="13" s="1"/>
  <c r="E85" i="13"/>
  <c r="E88" i="13"/>
  <c r="B88" i="13"/>
  <c r="I88" i="13" s="1"/>
  <c r="J88" i="13" s="1"/>
  <c r="E91" i="13"/>
  <c r="B91" i="13"/>
  <c r="I91" i="13" s="1"/>
  <c r="J91" i="13" s="1"/>
  <c r="E94" i="13"/>
  <c r="B94" i="13"/>
  <c r="I94" i="13" s="1"/>
  <c r="J94" i="13" s="1"/>
  <c r="H64" i="13"/>
  <c r="G64" i="13"/>
  <c r="H67" i="13"/>
  <c r="G67" i="13"/>
  <c r="H70" i="13"/>
  <c r="G70" i="13"/>
  <c r="G73" i="13"/>
  <c r="H73" i="13"/>
  <c r="H76" i="13"/>
  <c r="G76" i="13"/>
  <c r="H79" i="13"/>
  <c r="G79" i="13"/>
  <c r="H82" i="13"/>
  <c r="G82" i="13"/>
  <c r="H85" i="13"/>
  <c r="G85" i="13"/>
  <c r="H88" i="13"/>
  <c r="G88" i="13"/>
  <c r="G91" i="13"/>
  <c r="H91" i="13"/>
  <c r="H94" i="13"/>
  <c r="G94" i="13"/>
  <c r="F64" i="13"/>
  <c r="C64" i="13"/>
  <c r="F67" i="13"/>
  <c r="C67" i="13"/>
  <c r="C70" i="13"/>
  <c r="F70" i="13"/>
  <c r="F73" i="13"/>
  <c r="C73" i="13"/>
  <c r="F76" i="13"/>
  <c r="C76" i="13"/>
  <c r="F79" i="13"/>
  <c r="C79" i="13"/>
  <c r="C82" i="13"/>
  <c r="F82" i="13"/>
  <c r="F85" i="13"/>
  <c r="C85" i="13"/>
  <c r="F88" i="13"/>
  <c r="C88" i="13"/>
  <c r="F91" i="13"/>
  <c r="C91" i="13"/>
  <c r="F94" i="13"/>
  <c r="C94" i="13"/>
  <c r="E65" i="13"/>
  <c r="B65" i="13"/>
  <c r="I65" i="13" s="1"/>
  <c r="J65" i="13" s="1"/>
  <c r="E71" i="13"/>
  <c r="B71" i="13"/>
  <c r="I71" i="13" s="1"/>
  <c r="J71" i="13" s="1"/>
  <c r="E74" i="13"/>
  <c r="B74" i="13"/>
  <c r="I74" i="13" s="1"/>
  <c r="J74" i="13" s="1"/>
  <c r="B77" i="13"/>
  <c r="I77" i="13" s="1"/>
  <c r="J77" i="13" s="1"/>
  <c r="E77" i="13"/>
  <c r="B80" i="13"/>
  <c r="I80" i="13" s="1"/>
  <c r="J80" i="13" s="1"/>
  <c r="E80" i="13"/>
  <c r="E83" i="13"/>
  <c r="B83" i="13"/>
  <c r="I83" i="13" s="1"/>
  <c r="J83" i="13" s="1"/>
  <c r="E86" i="13"/>
  <c r="B86" i="13"/>
  <c r="I86" i="13" s="1"/>
  <c r="J86" i="13" s="1"/>
  <c r="E89" i="13"/>
  <c r="B89" i="13"/>
  <c r="I89" i="13" s="1"/>
  <c r="J89" i="13" s="1"/>
  <c r="B92" i="13"/>
  <c r="I92" i="13" s="1"/>
  <c r="J92" i="13" s="1"/>
  <c r="E92" i="13"/>
  <c r="H62" i="13"/>
  <c r="G62" i="13"/>
  <c r="E68" i="13"/>
  <c r="B68" i="13"/>
  <c r="I68" i="13" s="1"/>
  <c r="J68" i="13" s="1"/>
  <c r="G65" i="13"/>
  <c r="H65" i="13"/>
  <c r="G68" i="13"/>
  <c r="H68" i="13"/>
  <c r="H71" i="13"/>
  <c r="G71" i="13"/>
  <c r="H74" i="13"/>
  <c r="G74" i="13"/>
  <c r="H77" i="13"/>
  <c r="G77" i="13"/>
  <c r="H80" i="13"/>
  <c r="G80" i="13"/>
  <c r="H83" i="13"/>
  <c r="G83" i="13"/>
  <c r="H86" i="13"/>
  <c r="G86" i="13"/>
  <c r="H89" i="13"/>
  <c r="G89" i="13"/>
  <c r="H92" i="13"/>
  <c r="G92" i="13"/>
  <c r="Q5" i="1"/>
  <c r="D62" i="13" s="1"/>
  <c r="N5" i="1"/>
  <c r="N6" i="1"/>
  <c r="O6" i="1"/>
  <c r="Q6" i="1"/>
  <c r="D63" i="13" s="1"/>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T37" i="4"/>
  <c r="T36" i="4"/>
  <c r="T35" i="4"/>
  <c r="T34" i="4"/>
  <c r="T33" i="4"/>
  <c r="T32" i="4"/>
  <c r="T31" i="4"/>
  <c r="T30" i="4"/>
  <c r="T29" i="4"/>
  <c r="T28" i="4"/>
  <c r="T27" i="4"/>
  <c r="Q37" i="4"/>
  <c r="P37" i="4"/>
  <c r="O37" i="4"/>
  <c r="Z37" i="4" s="1"/>
  <c r="N37" i="4"/>
  <c r="M37" i="4"/>
  <c r="L37" i="4"/>
  <c r="F37" i="4"/>
  <c r="E37" i="4"/>
  <c r="C37" i="4"/>
  <c r="B37" i="4"/>
  <c r="Q36" i="4"/>
  <c r="P36" i="4"/>
  <c r="O36" i="4"/>
  <c r="AA36" i="4" s="1"/>
  <c r="N36" i="4"/>
  <c r="M36" i="4"/>
  <c r="L36" i="4"/>
  <c r="F36" i="4"/>
  <c r="E36" i="4"/>
  <c r="C36" i="4"/>
  <c r="B36" i="4"/>
  <c r="Q35" i="4"/>
  <c r="P35" i="4"/>
  <c r="O35" i="4"/>
  <c r="AA35" i="4" s="1"/>
  <c r="N35" i="4"/>
  <c r="M35" i="4"/>
  <c r="L35" i="4"/>
  <c r="F35" i="4"/>
  <c r="E35" i="4"/>
  <c r="C35" i="4"/>
  <c r="B35" i="4"/>
  <c r="Q34" i="4"/>
  <c r="P34" i="4"/>
  <c r="O34" i="4"/>
  <c r="AA34" i="4" s="1"/>
  <c r="N34" i="4"/>
  <c r="M34" i="4"/>
  <c r="L34" i="4"/>
  <c r="F34" i="4"/>
  <c r="E34" i="4"/>
  <c r="C34" i="4"/>
  <c r="B34" i="4"/>
  <c r="Q33" i="4"/>
  <c r="P33" i="4"/>
  <c r="O33" i="4"/>
  <c r="AA33" i="4" s="1"/>
  <c r="N33" i="4"/>
  <c r="M33" i="4"/>
  <c r="L33" i="4"/>
  <c r="F33" i="4"/>
  <c r="E33" i="4"/>
  <c r="C33" i="4"/>
  <c r="B33" i="4"/>
  <c r="Q32" i="4"/>
  <c r="P32" i="4"/>
  <c r="O32" i="4"/>
  <c r="AA32" i="4" s="1"/>
  <c r="N32" i="4"/>
  <c r="M32" i="4"/>
  <c r="L32" i="4"/>
  <c r="F32" i="4"/>
  <c r="E32" i="4"/>
  <c r="C32" i="4"/>
  <c r="B32" i="4"/>
  <c r="Q31" i="4"/>
  <c r="P31" i="4"/>
  <c r="O31" i="4"/>
  <c r="Z31" i="4" s="1"/>
  <c r="N31" i="4"/>
  <c r="M31" i="4"/>
  <c r="L31" i="4"/>
  <c r="F31" i="4"/>
  <c r="E31" i="4"/>
  <c r="C31" i="4"/>
  <c r="B31" i="4"/>
  <c r="Q30" i="4"/>
  <c r="P30" i="4"/>
  <c r="O30" i="4"/>
  <c r="AA30" i="4" s="1"/>
  <c r="N30" i="4"/>
  <c r="M30" i="4"/>
  <c r="L30" i="4"/>
  <c r="F30" i="4"/>
  <c r="E30" i="4"/>
  <c r="C30" i="4"/>
  <c r="B30" i="4"/>
  <c r="Q29" i="4"/>
  <c r="P29" i="4"/>
  <c r="O29" i="4"/>
  <c r="AA29" i="4" s="1"/>
  <c r="N29" i="4"/>
  <c r="M29" i="4"/>
  <c r="L29" i="4"/>
  <c r="F29" i="4"/>
  <c r="E29" i="4"/>
  <c r="C29" i="4"/>
  <c r="B29" i="4"/>
  <c r="Q28" i="4"/>
  <c r="P28" i="4"/>
  <c r="O28" i="4"/>
  <c r="AA28" i="4" s="1"/>
  <c r="N28" i="4"/>
  <c r="M28" i="4"/>
  <c r="L28" i="4"/>
  <c r="F28" i="4"/>
  <c r="E28" i="4"/>
  <c r="C28" i="4"/>
  <c r="B28" i="4"/>
  <c r="Q27" i="4"/>
  <c r="P27" i="4"/>
  <c r="O27" i="4"/>
  <c r="AA27" i="4" s="1"/>
  <c r="N27" i="4"/>
  <c r="M27" i="4"/>
  <c r="L27" i="4"/>
  <c r="F27" i="4"/>
  <c r="E27" i="4"/>
  <c r="C27" i="4"/>
  <c r="B27" i="4"/>
  <c r="L37" i="1"/>
  <c r="D55" i="13" s="1"/>
  <c r="K37" i="1"/>
  <c r="C55" i="13" s="1"/>
  <c r="J37" i="1"/>
  <c r="L36" i="1"/>
  <c r="D54" i="13" s="1"/>
  <c r="K36" i="1"/>
  <c r="C54" i="13" s="1"/>
  <c r="J36" i="1"/>
  <c r="L35" i="1"/>
  <c r="D53" i="13" s="1"/>
  <c r="K35" i="1"/>
  <c r="C53" i="13" s="1"/>
  <c r="J35" i="1"/>
  <c r="L34" i="1"/>
  <c r="D52" i="13" s="1"/>
  <c r="K34" i="1"/>
  <c r="C52" i="13" s="1"/>
  <c r="J34" i="1"/>
  <c r="L33" i="1"/>
  <c r="D51" i="13" s="1"/>
  <c r="K33" i="1"/>
  <c r="C51" i="13" s="1"/>
  <c r="J33" i="1"/>
  <c r="L32" i="1"/>
  <c r="D50" i="13" s="1"/>
  <c r="K32" i="1"/>
  <c r="C50" i="13" s="1"/>
  <c r="J32" i="1"/>
  <c r="L31" i="1"/>
  <c r="D49" i="13" s="1"/>
  <c r="K31" i="1"/>
  <c r="C49" i="13" s="1"/>
  <c r="J31" i="1"/>
  <c r="L30" i="1"/>
  <c r="D48" i="13" s="1"/>
  <c r="K30" i="1"/>
  <c r="C48" i="13" s="1"/>
  <c r="J30" i="1"/>
  <c r="L29" i="1"/>
  <c r="D47" i="13" s="1"/>
  <c r="K29" i="1"/>
  <c r="C47" i="13" s="1"/>
  <c r="J29" i="1"/>
  <c r="L28" i="1"/>
  <c r="D46" i="13" s="1"/>
  <c r="K28" i="1"/>
  <c r="C46" i="13" s="1"/>
  <c r="J28" i="1"/>
  <c r="L27" i="1"/>
  <c r="D45" i="13" s="1"/>
  <c r="K27" i="1"/>
  <c r="C45" i="13" s="1"/>
  <c r="J27" i="1"/>
  <c r="L26" i="1"/>
  <c r="D44" i="13" s="1"/>
  <c r="K26" i="1"/>
  <c r="C44" i="13" s="1"/>
  <c r="J26" i="1"/>
  <c r="L25" i="1"/>
  <c r="D43" i="13" s="1"/>
  <c r="K25" i="1"/>
  <c r="C43" i="13" s="1"/>
  <c r="J25" i="1"/>
  <c r="L24" i="1"/>
  <c r="D42" i="13" s="1"/>
  <c r="K24" i="1"/>
  <c r="C42" i="13" s="1"/>
  <c r="J24" i="1"/>
  <c r="L23" i="1"/>
  <c r="D41" i="13" s="1"/>
  <c r="K23" i="1"/>
  <c r="C41" i="13" s="1"/>
  <c r="J23" i="1"/>
  <c r="B46" i="7"/>
  <c r="B22" i="7" s="1"/>
  <c r="A22" i="7"/>
  <c r="A23" i="7"/>
  <c r="J218" i="10"/>
  <c r="J217" i="10"/>
  <c r="J216" i="10"/>
  <c r="J215" i="10"/>
  <c r="J214" i="10"/>
  <c r="J213" i="10"/>
  <c r="J212" i="10"/>
  <c r="J211" i="10"/>
  <c r="J210" i="10"/>
  <c r="J195" i="10"/>
  <c r="J194" i="10"/>
  <c r="J193" i="10"/>
  <c r="J192" i="10"/>
  <c r="J191" i="10"/>
  <c r="J190" i="10"/>
  <c r="J189" i="10"/>
  <c r="J188" i="10"/>
  <c r="J187" i="10"/>
  <c r="J172" i="10"/>
  <c r="J171" i="10"/>
  <c r="J170" i="10"/>
  <c r="J169" i="10"/>
  <c r="J168" i="10"/>
  <c r="J167" i="10"/>
  <c r="J166" i="10"/>
  <c r="J165" i="10"/>
  <c r="J164" i="10"/>
  <c r="J149" i="10"/>
  <c r="J148" i="10"/>
  <c r="J147" i="10"/>
  <c r="J146" i="10"/>
  <c r="J145" i="10"/>
  <c r="J144" i="10"/>
  <c r="J143" i="10"/>
  <c r="J142" i="10"/>
  <c r="J141" i="10"/>
  <c r="J126" i="10"/>
  <c r="J125" i="10"/>
  <c r="J124" i="10"/>
  <c r="J123" i="10"/>
  <c r="J122" i="10"/>
  <c r="J121" i="10"/>
  <c r="J120" i="10"/>
  <c r="J119" i="10"/>
  <c r="J118" i="10"/>
  <c r="J103" i="10"/>
  <c r="J102" i="10"/>
  <c r="J101" i="10"/>
  <c r="J100" i="10"/>
  <c r="J99" i="10"/>
  <c r="J98" i="10"/>
  <c r="J97" i="10"/>
  <c r="J96" i="10"/>
  <c r="J95" i="10"/>
  <c r="J80" i="10"/>
  <c r="J79" i="10"/>
  <c r="J78" i="10"/>
  <c r="J77" i="10"/>
  <c r="J76" i="10"/>
  <c r="J75" i="10"/>
  <c r="J74" i="10"/>
  <c r="J73" i="10"/>
  <c r="J72" i="10"/>
  <c r="J57" i="10"/>
  <c r="J56" i="10"/>
  <c r="J55" i="10"/>
  <c r="J54" i="10"/>
  <c r="J53" i="10"/>
  <c r="J52" i="10"/>
  <c r="J51" i="10"/>
  <c r="J50" i="10"/>
  <c r="J49" i="10"/>
  <c r="J34" i="10"/>
  <c r="J33" i="10"/>
  <c r="J32" i="10"/>
  <c r="J31" i="10"/>
  <c r="J30" i="10"/>
  <c r="J29" i="10"/>
  <c r="J28" i="10"/>
  <c r="J27" i="10"/>
  <c r="J26" i="10"/>
  <c r="H218" i="10"/>
  <c r="G218" i="10"/>
  <c r="F218" i="10"/>
  <c r="H217" i="10"/>
  <c r="G217" i="10"/>
  <c r="F217" i="10"/>
  <c r="H216" i="10"/>
  <c r="G216" i="10"/>
  <c r="F216" i="10"/>
  <c r="H215" i="10"/>
  <c r="G215" i="10"/>
  <c r="F215" i="10"/>
  <c r="H195" i="10"/>
  <c r="G195" i="10"/>
  <c r="F195" i="10"/>
  <c r="H194" i="10"/>
  <c r="G194" i="10"/>
  <c r="F194" i="10"/>
  <c r="H193" i="10"/>
  <c r="G193" i="10"/>
  <c r="F193" i="10"/>
  <c r="H192" i="10"/>
  <c r="G192" i="10"/>
  <c r="F192" i="10"/>
  <c r="H172" i="10"/>
  <c r="G172" i="10"/>
  <c r="F172" i="10"/>
  <c r="H171" i="10"/>
  <c r="G171" i="10"/>
  <c r="F171" i="10"/>
  <c r="H170" i="10"/>
  <c r="G170" i="10"/>
  <c r="F170" i="10"/>
  <c r="H169" i="10"/>
  <c r="G169" i="10"/>
  <c r="F169" i="10"/>
  <c r="H149" i="10"/>
  <c r="G149" i="10"/>
  <c r="F149" i="10"/>
  <c r="H148" i="10"/>
  <c r="G148" i="10"/>
  <c r="F148" i="10"/>
  <c r="H147" i="10"/>
  <c r="G147" i="10"/>
  <c r="F147" i="10"/>
  <c r="H146" i="10"/>
  <c r="G146" i="10"/>
  <c r="F146" i="10"/>
  <c r="H126" i="10"/>
  <c r="G126" i="10"/>
  <c r="F126" i="10"/>
  <c r="H125" i="10"/>
  <c r="G125" i="10"/>
  <c r="F125" i="10"/>
  <c r="H124" i="10"/>
  <c r="G124" i="10"/>
  <c r="F124" i="10"/>
  <c r="H123" i="10"/>
  <c r="G123" i="10"/>
  <c r="F123" i="10"/>
  <c r="H103" i="10"/>
  <c r="G103" i="10"/>
  <c r="F103" i="10"/>
  <c r="H102" i="10"/>
  <c r="G102" i="10"/>
  <c r="F102" i="10"/>
  <c r="H101" i="10"/>
  <c r="G101" i="10"/>
  <c r="F101" i="10"/>
  <c r="H100" i="10"/>
  <c r="G100" i="10"/>
  <c r="F100" i="10"/>
  <c r="H80" i="10"/>
  <c r="G80" i="10"/>
  <c r="F80" i="10"/>
  <c r="H79" i="10"/>
  <c r="G79" i="10"/>
  <c r="F79" i="10"/>
  <c r="H78" i="10"/>
  <c r="G78" i="10"/>
  <c r="F78" i="10"/>
  <c r="H77" i="10"/>
  <c r="G77" i="10"/>
  <c r="F77" i="10"/>
  <c r="H57" i="10"/>
  <c r="G57" i="10"/>
  <c r="F57" i="10"/>
  <c r="H56" i="10"/>
  <c r="G56" i="10"/>
  <c r="F56" i="10"/>
  <c r="H55" i="10"/>
  <c r="G55" i="10"/>
  <c r="F55" i="10"/>
  <c r="H54" i="10"/>
  <c r="G54" i="10"/>
  <c r="F54" i="10"/>
  <c r="H34" i="10"/>
  <c r="G34" i="10"/>
  <c r="F34" i="10"/>
  <c r="H33" i="10"/>
  <c r="G33" i="10"/>
  <c r="F33" i="10"/>
  <c r="H32" i="10"/>
  <c r="G32" i="10"/>
  <c r="F32" i="10"/>
  <c r="H31" i="10"/>
  <c r="G31" i="10"/>
  <c r="F31" i="10"/>
  <c r="H11" i="10"/>
  <c r="H10" i="10"/>
  <c r="H9" i="10"/>
  <c r="H8" i="10"/>
  <c r="F11" i="10"/>
  <c r="F10" i="10"/>
  <c r="F9" i="10"/>
  <c r="F8" i="10"/>
  <c r="J11" i="10"/>
  <c r="J10" i="10"/>
  <c r="J9" i="10"/>
  <c r="J8" i="10"/>
  <c r="J7" i="10"/>
  <c r="J5" i="10"/>
  <c r="J4" i="10"/>
  <c r="J3" i="10"/>
  <c r="J6" i="10"/>
  <c r="T26" i="4"/>
  <c r="T25" i="4"/>
  <c r="T24" i="4"/>
  <c r="T23" i="4"/>
  <c r="T22" i="4"/>
  <c r="T21" i="4"/>
  <c r="T20" i="4"/>
  <c r="T19" i="4"/>
  <c r="T18" i="4"/>
  <c r="Q26" i="4"/>
  <c r="P26" i="4"/>
  <c r="Q25" i="4"/>
  <c r="P25" i="4"/>
  <c r="Q24" i="4"/>
  <c r="P24" i="4"/>
  <c r="Q23" i="4"/>
  <c r="P23" i="4"/>
  <c r="Q22" i="4"/>
  <c r="P22" i="4"/>
  <c r="Q21" i="4"/>
  <c r="P21" i="4"/>
  <c r="Q20" i="4"/>
  <c r="P20" i="4"/>
  <c r="Q19" i="4"/>
  <c r="P19" i="4"/>
  <c r="O26" i="4"/>
  <c r="AA26" i="4" s="1"/>
  <c r="O25" i="4"/>
  <c r="AA25" i="4" s="1"/>
  <c r="O24" i="4"/>
  <c r="AA24" i="4" s="1"/>
  <c r="O23" i="4"/>
  <c r="AA23" i="4" s="1"/>
  <c r="O22" i="4"/>
  <c r="AA22" i="4" s="1"/>
  <c r="O21" i="4"/>
  <c r="AA21" i="4" s="1"/>
  <c r="O20" i="4"/>
  <c r="AA20" i="4" s="1"/>
  <c r="O19" i="4"/>
  <c r="AA19" i="4" s="1"/>
  <c r="N26" i="4"/>
  <c r="M26" i="4"/>
  <c r="L26" i="4"/>
  <c r="F26" i="4"/>
  <c r="E26" i="4"/>
  <c r="C26" i="4"/>
  <c r="B26" i="4"/>
  <c r="N25" i="4"/>
  <c r="M25" i="4"/>
  <c r="L25" i="4"/>
  <c r="F25" i="4"/>
  <c r="E25" i="4"/>
  <c r="C25" i="4"/>
  <c r="B25" i="4"/>
  <c r="N24" i="4"/>
  <c r="M24" i="4"/>
  <c r="L24" i="4"/>
  <c r="F24" i="4"/>
  <c r="E24" i="4"/>
  <c r="C24" i="4"/>
  <c r="B24" i="4"/>
  <c r="N23" i="4"/>
  <c r="M23" i="4"/>
  <c r="L23" i="4"/>
  <c r="F23" i="4"/>
  <c r="E23" i="4"/>
  <c r="C23" i="4"/>
  <c r="B23" i="4"/>
  <c r="N22" i="4"/>
  <c r="M22" i="4"/>
  <c r="L22" i="4"/>
  <c r="F22" i="4"/>
  <c r="E22" i="4"/>
  <c r="C22" i="4"/>
  <c r="B22" i="4"/>
  <c r="N21" i="4"/>
  <c r="M21" i="4"/>
  <c r="L21" i="4"/>
  <c r="F21" i="4"/>
  <c r="E21" i="4"/>
  <c r="C21" i="4"/>
  <c r="B21" i="4"/>
  <c r="N20" i="4"/>
  <c r="M20" i="4"/>
  <c r="L20" i="4"/>
  <c r="F20" i="4"/>
  <c r="E20" i="4"/>
  <c r="C20" i="4"/>
  <c r="B20" i="4"/>
  <c r="N19" i="4"/>
  <c r="M19" i="4"/>
  <c r="L19" i="4"/>
  <c r="F19" i="4"/>
  <c r="E19" i="4"/>
  <c r="C19" i="4"/>
  <c r="B19" i="4"/>
  <c r="A26" i="4"/>
  <c r="A19" i="4"/>
  <c r="A20" i="4"/>
  <c r="A21" i="4"/>
  <c r="A22" i="4"/>
  <c r="A23" i="4"/>
  <c r="A24" i="4"/>
  <c r="A25" i="4"/>
  <c r="L22" i="1"/>
  <c r="D40" i="13" s="1"/>
  <c r="K22" i="1"/>
  <c r="C40" i="13" s="1"/>
  <c r="J22" i="1"/>
  <c r="L21" i="1"/>
  <c r="D39" i="13" s="1"/>
  <c r="K21" i="1"/>
  <c r="C39" i="13" s="1"/>
  <c r="J21" i="1"/>
  <c r="L20" i="1"/>
  <c r="D38" i="13" s="1"/>
  <c r="K20" i="1"/>
  <c r="C38" i="13" s="1"/>
  <c r="J20" i="1"/>
  <c r="L19" i="1"/>
  <c r="D37" i="13" s="1"/>
  <c r="K19" i="1"/>
  <c r="C37" i="13" s="1"/>
  <c r="J19" i="1"/>
  <c r="L18" i="1"/>
  <c r="D36" i="13" s="1"/>
  <c r="K18" i="1"/>
  <c r="C36" i="13" s="1"/>
  <c r="J18" i="1"/>
  <c r="L17" i="1"/>
  <c r="D35" i="13" s="1"/>
  <c r="K17" i="1"/>
  <c r="C35" i="13" s="1"/>
  <c r="J17" i="1"/>
  <c r="L16" i="1"/>
  <c r="D34" i="13" s="1"/>
  <c r="K16" i="1"/>
  <c r="C34" i="13" s="1"/>
  <c r="J16" i="1"/>
  <c r="P69" i="2"/>
  <c r="J222" i="10"/>
  <c r="J221" i="10"/>
  <c r="J220" i="10"/>
  <c r="J199" i="10"/>
  <c r="J198" i="10"/>
  <c r="J197" i="10"/>
  <c r="J176" i="10"/>
  <c r="J175" i="10"/>
  <c r="J174" i="10"/>
  <c r="J153" i="10"/>
  <c r="J152" i="10"/>
  <c r="J151" i="10"/>
  <c r="J130" i="10"/>
  <c r="J129" i="10"/>
  <c r="J128" i="10"/>
  <c r="J107" i="10"/>
  <c r="J106" i="10"/>
  <c r="J105" i="10"/>
  <c r="J84" i="10"/>
  <c r="J83" i="10"/>
  <c r="J82" i="10"/>
  <c r="J61" i="10"/>
  <c r="J60" i="10"/>
  <c r="J59" i="10"/>
  <c r="J38" i="10"/>
  <c r="J37" i="10"/>
  <c r="J36" i="10"/>
  <c r="J15" i="10"/>
  <c r="J14" i="10"/>
  <c r="P18" i="4"/>
  <c r="P17" i="4"/>
  <c r="P16" i="4"/>
  <c r="P15" i="4"/>
  <c r="P14" i="4"/>
  <c r="P13" i="4"/>
  <c r="P12" i="4"/>
  <c r="P11" i="4"/>
  <c r="P10" i="4"/>
  <c r="P9" i="4"/>
  <c r="P8" i="4"/>
  <c r="P7" i="4"/>
  <c r="O18" i="4"/>
  <c r="AA18" i="4" s="1"/>
  <c r="O17" i="4"/>
  <c r="AA17" i="4" s="1"/>
  <c r="O16" i="4"/>
  <c r="AA16" i="4" s="1"/>
  <c r="O15" i="4"/>
  <c r="AA15" i="4" s="1"/>
  <c r="O14" i="4"/>
  <c r="AA14" i="4" s="1"/>
  <c r="O13" i="4"/>
  <c r="Z13" i="4" s="1"/>
  <c r="O12" i="4"/>
  <c r="Z12" i="4" s="1"/>
  <c r="O11" i="4"/>
  <c r="Z11" i="4" s="1"/>
  <c r="O10" i="4"/>
  <c r="Z10" i="4" s="1"/>
  <c r="O9" i="4"/>
  <c r="Z9" i="4" s="1"/>
  <c r="O8" i="4"/>
  <c r="AA8" i="4" s="1"/>
  <c r="O7" i="4"/>
  <c r="AA7" i="4" s="1"/>
  <c r="N18" i="4"/>
  <c r="N17" i="4"/>
  <c r="N16" i="4"/>
  <c r="N15" i="4"/>
  <c r="N14" i="4"/>
  <c r="N13" i="4"/>
  <c r="N12" i="4"/>
  <c r="N11" i="4"/>
  <c r="N10" i="4"/>
  <c r="N9" i="4"/>
  <c r="N8" i="4"/>
  <c r="N7" i="4"/>
  <c r="F18" i="4"/>
  <c r="F17" i="4"/>
  <c r="F16" i="4"/>
  <c r="F15" i="4"/>
  <c r="F14" i="4"/>
  <c r="F13" i="4"/>
  <c r="F12" i="4"/>
  <c r="F11" i="4"/>
  <c r="F10" i="4"/>
  <c r="F9" i="4"/>
  <c r="F8" i="4"/>
  <c r="F7" i="4"/>
  <c r="C18" i="4"/>
  <c r="C17" i="4"/>
  <c r="C16" i="4"/>
  <c r="C15" i="4"/>
  <c r="C14" i="4"/>
  <c r="C13" i="4"/>
  <c r="C12" i="4"/>
  <c r="C11" i="4"/>
  <c r="C10" i="4"/>
  <c r="C9" i="4"/>
  <c r="C8" i="4"/>
  <c r="C7" i="4"/>
  <c r="B52" i="7"/>
  <c r="J230" i="10"/>
  <c r="H230" i="10"/>
  <c r="G230" i="10"/>
  <c r="F230" i="10"/>
  <c r="J229" i="10"/>
  <c r="J228" i="10"/>
  <c r="J226" i="10"/>
  <c r="H226" i="10"/>
  <c r="G226" i="10"/>
  <c r="F226" i="10"/>
  <c r="J225" i="10"/>
  <c r="H225" i="10"/>
  <c r="G225" i="10"/>
  <c r="F225" i="10"/>
  <c r="J224" i="10"/>
  <c r="F224" i="10"/>
  <c r="H222" i="10"/>
  <c r="F222" i="10"/>
  <c r="E222" i="10"/>
  <c r="H221" i="10"/>
  <c r="F221" i="10"/>
  <c r="E221" i="10"/>
  <c r="F220" i="10"/>
  <c r="E214" i="10"/>
  <c r="E213" i="10"/>
  <c r="J207" i="10"/>
  <c r="H207" i="10"/>
  <c r="G207" i="10"/>
  <c r="F207" i="10"/>
  <c r="J206" i="10"/>
  <c r="J205" i="10"/>
  <c r="J203" i="10"/>
  <c r="H203" i="10"/>
  <c r="G203" i="10"/>
  <c r="F203" i="10"/>
  <c r="J202" i="10"/>
  <c r="H202" i="10"/>
  <c r="G202" i="10"/>
  <c r="F202" i="10"/>
  <c r="J201" i="10"/>
  <c r="F201" i="10"/>
  <c r="H199" i="10"/>
  <c r="F199" i="10"/>
  <c r="E199" i="10"/>
  <c r="H198" i="10"/>
  <c r="F198" i="10"/>
  <c r="E198" i="10"/>
  <c r="F197" i="10"/>
  <c r="E191" i="10"/>
  <c r="E190" i="10"/>
  <c r="J184" i="10"/>
  <c r="H184" i="10"/>
  <c r="G184" i="10"/>
  <c r="F184" i="10"/>
  <c r="J183" i="10"/>
  <c r="J182" i="10"/>
  <c r="J180" i="10"/>
  <c r="H180" i="10"/>
  <c r="G180" i="10"/>
  <c r="F180" i="10"/>
  <c r="J179" i="10"/>
  <c r="H179" i="10"/>
  <c r="G179" i="10"/>
  <c r="F179" i="10"/>
  <c r="J178" i="10"/>
  <c r="F178" i="10"/>
  <c r="H176" i="10"/>
  <c r="F176" i="10"/>
  <c r="E176" i="10"/>
  <c r="H175" i="10"/>
  <c r="F175" i="10"/>
  <c r="E175" i="10"/>
  <c r="F174" i="10"/>
  <c r="E168" i="10"/>
  <c r="E167" i="10"/>
  <c r="G42" i="10"/>
  <c r="G157" i="10"/>
  <c r="G156" i="10"/>
  <c r="G134" i="10"/>
  <c r="G133" i="10"/>
  <c r="G111" i="10"/>
  <c r="G110" i="10"/>
  <c r="G88" i="10"/>
  <c r="G87" i="10"/>
  <c r="G65" i="10"/>
  <c r="G64" i="10"/>
  <c r="G41" i="10"/>
  <c r="G19" i="10"/>
  <c r="G18" i="10"/>
  <c r="E112" i="7"/>
  <c r="G224" i="10" s="1"/>
  <c r="J161" i="10"/>
  <c r="H161" i="10"/>
  <c r="G161" i="10"/>
  <c r="F161" i="10"/>
  <c r="J160" i="10"/>
  <c r="J159" i="10"/>
  <c r="J157" i="10"/>
  <c r="H157" i="10"/>
  <c r="F157" i="10"/>
  <c r="J156" i="10"/>
  <c r="H156" i="10"/>
  <c r="F156" i="10"/>
  <c r="J155" i="10"/>
  <c r="F155" i="10"/>
  <c r="H153" i="10"/>
  <c r="F153" i="10"/>
  <c r="E153" i="10"/>
  <c r="H152" i="10"/>
  <c r="F152" i="10"/>
  <c r="E152" i="10"/>
  <c r="F151" i="10"/>
  <c r="E145" i="10"/>
  <c r="E144" i="10"/>
  <c r="J138" i="10"/>
  <c r="H138" i="10"/>
  <c r="G138" i="10"/>
  <c r="F138" i="10"/>
  <c r="J137" i="10"/>
  <c r="J136" i="10"/>
  <c r="J134" i="10"/>
  <c r="H134" i="10"/>
  <c r="F134" i="10"/>
  <c r="J133" i="10"/>
  <c r="H133" i="10"/>
  <c r="F133" i="10"/>
  <c r="J132" i="10"/>
  <c r="F132" i="10"/>
  <c r="H130" i="10"/>
  <c r="F130" i="10"/>
  <c r="E130" i="10"/>
  <c r="H129" i="10"/>
  <c r="F129" i="10"/>
  <c r="E129" i="10"/>
  <c r="F128" i="10"/>
  <c r="E122" i="10"/>
  <c r="E121" i="10"/>
  <c r="J115" i="10"/>
  <c r="H115" i="10"/>
  <c r="G115" i="10"/>
  <c r="F115" i="10"/>
  <c r="J114" i="10"/>
  <c r="J113" i="10"/>
  <c r="J111" i="10"/>
  <c r="H111" i="10"/>
  <c r="F111" i="10"/>
  <c r="J110" i="10"/>
  <c r="H110" i="10"/>
  <c r="F110" i="10"/>
  <c r="J109" i="10"/>
  <c r="F109" i="10"/>
  <c r="H107" i="10"/>
  <c r="F107" i="10"/>
  <c r="E107" i="10"/>
  <c r="H106" i="10"/>
  <c r="F106" i="10"/>
  <c r="E106" i="10"/>
  <c r="F105" i="10"/>
  <c r="E99" i="10"/>
  <c r="E98" i="10"/>
  <c r="J92" i="10"/>
  <c r="H92" i="10"/>
  <c r="G92" i="10"/>
  <c r="F92" i="10"/>
  <c r="J91" i="10"/>
  <c r="J90" i="10"/>
  <c r="J88" i="10"/>
  <c r="H88" i="10"/>
  <c r="F88" i="10"/>
  <c r="J87" i="10"/>
  <c r="H87" i="10"/>
  <c r="F87" i="10"/>
  <c r="J86" i="10"/>
  <c r="F86" i="10"/>
  <c r="H84" i="10"/>
  <c r="F84" i="10"/>
  <c r="E84" i="10"/>
  <c r="H83" i="10"/>
  <c r="F83" i="10"/>
  <c r="E83" i="10"/>
  <c r="F82" i="10"/>
  <c r="E76" i="10"/>
  <c r="E75" i="10"/>
  <c r="J69" i="10"/>
  <c r="H69" i="10"/>
  <c r="G69" i="10"/>
  <c r="F69" i="10"/>
  <c r="J68" i="10"/>
  <c r="J67" i="10"/>
  <c r="J65" i="10"/>
  <c r="H65" i="10"/>
  <c r="F65" i="10"/>
  <c r="J64" i="10"/>
  <c r="H64" i="10"/>
  <c r="F64" i="10"/>
  <c r="J63" i="10"/>
  <c r="F63" i="10"/>
  <c r="H61" i="10"/>
  <c r="F61" i="10"/>
  <c r="E61" i="10"/>
  <c r="H60" i="10"/>
  <c r="F60" i="10"/>
  <c r="E60" i="10"/>
  <c r="F59" i="10"/>
  <c r="E53" i="10"/>
  <c r="E52" i="10"/>
  <c r="J46" i="10"/>
  <c r="H46" i="10"/>
  <c r="G46" i="10"/>
  <c r="F46" i="10"/>
  <c r="J45" i="10"/>
  <c r="J44" i="10"/>
  <c r="J42" i="10"/>
  <c r="H42" i="10"/>
  <c r="F42" i="10"/>
  <c r="J41" i="10"/>
  <c r="H41" i="10"/>
  <c r="F41" i="10"/>
  <c r="J40" i="10"/>
  <c r="F40" i="10"/>
  <c r="H38" i="10"/>
  <c r="F38" i="10"/>
  <c r="E38" i="10"/>
  <c r="H37" i="10"/>
  <c r="F37" i="10"/>
  <c r="E37" i="10"/>
  <c r="F36" i="10"/>
  <c r="E30" i="10"/>
  <c r="E29" i="10"/>
  <c r="J23" i="10"/>
  <c r="J21" i="10"/>
  <c r="J22" i="10"/>
  <c r="E7" i="10"/>
  <c r="B54" i="7"/>
  <c r="J13" i="10"/>
  <c r="J19" i="10"/>
  <c r="J18" i="10"/>
  <c r="J17" i="10"/>
  <c r="E6" i="10"/>
  <c r="J54" i="7"/>
  <c r="I54" i="7"/>
  <c r="B104" i="7"/>
  <c r="F114" i="10" s="1"/>
  <c r="K31" i="4" l="1"/>
  <c r="J31" i="4"/>
  <c r="H303" i="2"/>
  <c r="K9" i="4"/>
  <c r="H281" i="2"/>
  <c r="J9" i="4"/>
  <c r="K11" i="4"/>
  <c r="J11" i="4"/>
  <c r="H283" i="2"/>
  <c r="H309" i="2"/>
  <c r="K37" i="4"/>
  <c r="J37" i="4"/>
  <c r="K12" i="4"/>
  <c r="J12" i="4"/>
  <c r="H284" i="2"/>
  <c r="K13" i="4"/>
  <c r="J13" i="4"/>
  <c r="H285" i="2"/>
  <c r="K10" i="4"/>
  <c r="J10" i="4"/>
  <c r="H282" i="2"/>
  <c r="G9" i="4"/>
  <c r="D9" i="4"/>
  <c r="S9" i="4"/>
  <c r="G31" i="4"/>
  <c r="D31" i="4"/>
  <c r="S31" i="4"/>
  <c r="G10" i="4"/>
  <c r="S10" i="4"/>
  <c r="D10" i="4"/>
  <c r="G11" i="4"/>
  <c r="S11" i="4"/>
  <c r="D11" i="4"/>
  <c r="S37" i="4"/>
  <c r="G37" i="4"/>
  <c r="D37" i="4"/>
  <c r="S12" i="4"/>
  <c r="G12" i="4"/>
  <c r="D12" i="4"/>
  <c r="S13" i="4"/>
  <c r="G13" i="4"/>
  <c r="D13" i="4"/>
  <c r="B36" i="13"/>
  <c r="G36" i="13" s="1"/>
  <c r="E36" i="13"/>
  <c r="B40" i="13"/>
  <c r="G40" i="13" s="1"/>
  <c r="E40" i="13"/>
  <c r="E42" i="13"/>
  <c r="B42" i="13"/>
  <c r="G42" i="13" s="1"/>
  <c r="B46" i="13"/>
  <c r="G46" i="13" s="1"/>
  <c r="E46" i="13"/>
  <c r="B50" i="13"/>
  <c r="G50" i="13" s="1"/>
  <c r="E50" i="13"/>
  <c r="E54" i="13"/>
  <c r="B54" i="13"/>
  <c r="G54" i="13" s="1"/>
  <c r="B37" i="13"/>
  <c r="G37" i="13" s="1"/>
  <c r="E37" i="13"/>
  <c r="B43" i="13"/>
  <c r="G43" i="13" s="1"/>
  <c r="E43" i="13"/>
  <c r="B47" i="13"/>
  <c r="G47" i="13" s="1"/>
  <c r="E47" i="13"/>
  <c r="B51" i="13"/>
  <c r="G51" i="13" s="1"/>
  <c r="E51" i="13"/>
  <c r="B55" i="13"/>
  <c r="G55" i="13" s="1"/>
  <c r="E55" i="13"/>
  <c r="B34" i="13"/>
  <c r="G34" i="13" s="1"/>
  <c r="E34" i="13"/>
  <c r="B38" i="13"/>
  <c r="G38" i="13" s="1"/>
  <c r="E38" i="13"/>
  <c r="B44" i="13"/>
  <c r="G44" i="13" s="1"/>
  <c r="E44" i="13"/>
  <c r="B48" i="13"/>
  <c r="G48" i="13" s="1"/>
  <c r="E48" i="13"/>
  <c r="B52" i="13"/>
  <c r="G52" i="13" s="1"/>
  <c r="E52" i="13"/>
  <c r="B35" i="13"/>
  <c r="G35" i="13" s="1"/>
  <c r="E35" i="13"/>
  <c r="B39" i="13"/>
  <c r="G39" i="13" s="1"/>
  <c r="E39" i="13"/>
  <c r="B41" i="13"/>
  <c r="G41" i="13" s="1"/>
  <c r="E41" i="13"/>
  <c r="B45" i="13"/>
  <c r="G45" i="13" s="1"/>
  <c r="E45" i="13"/>
  <c r="B49" i="13"/>
  <c r="G49" i="13" s="1"/>
  <c r="E49" i="13"/>
  <c r="B53" i="13"/>
  <c r="G53" i="13" s="1"/>
  <c r="E53" i="13"/>
  <c r="I64" i="13"/>
  <c r="J64" i="13" s="1"/>
  <c r="I61" i="13"/>
  <c r="F63" i="13"/>
  <c r="C63" i="13"/>
  <c r="G63" i="13"/>
  <c r="H63" i="13"/>
  <c r="E63" i="13"/>
  <c r="B63" i="13"/>
  <c r="F62" i="13"/>
  <c r="C62" i="13"/>
  <c r="B62" i="13"/>
  <c r="E62" i="13"/>
  <c r="Z36" i="4"/>
  <c r="Z32" i="4"/>
  <c r="Z30" i="4"/>
  <c r="Z27" i="4"/>
  <c r="AA31" i="4"/>
  <c r="AA37" i="4"/>
  <c r="Z33" i="4"/>
  <c r="Z28" i="4"/>
  <c r="Z34" i="4"/>
  <c r="Z29" i="4"/>
  <c r="Z35" i="4"/>
  <c r="H224" i="10"/>
  <c r="G40" i="10"/>
  <c r="H40" i="10" s="1"/>
  <c r="K54" i="7"/>
  <c r="G63" i="10"/>
  <c r="H63" i="10" s="1"/>
  <c r="G86" i="10"/>
  <c r="H86" i="10" s="1"/>
  <c r="G109" i="10"/>
  <c r="H109" i="10" s="1"/>
  <c r="G68" i="10"/>
  <c r="G132" i="10"/>
  <c r="H132" i="10" s="1"/>
  <c r="F229" i="10"/>
  <c r="G155" i="10"/>
  <c r="H155" i="10" s="1"/>
  <c r="G229" i="10"/>
  <c r="G178" i="10"/>
  <c r="H178" i="10" s="1"/>
  <c r="F206" i="10"/>
  <c r="G201" i="10"/>
  <c r="H201" i="10" s="1"/>
  <c r="G206" i="10"/>
  <c r="F183" i="10"/>
  <c r="G183" i="10"/>
  <c r="Z21" i="4"/>
  <c r="Z22" i="4"/>
  <c r="Z23" i="4"/>
  <c r="Z24" i="4"/>
  <c r="Z19" i="4"/>
  <c r="Z25" i="4"/>
  <c r="Z20" i="4"/>
  <c r="Z26" i="4"/>
  <c r="Z14" i="4"/>
  <c r="AA9" i="4"/>
  <c r="Z15" i="4"/>
  <c r="AA10" i="4"/>
  <c r="Z16" i="4"/>
  <c r="AA11" i="4"/>
  <c r="Z17" i="4"/>
  <c r="AA12" i="4"/>
  <c r="Z18" i="4"/>
  <c r="AA13" i="4"/>
  <c r="Z7" i="4"/>
  <c r="Z8" i="4"/>
  <c r="G114" i="10"/>
  <c r="H114" i="10" s="1"/>
  <c r="F45" i="10"/>
  <c r="F160" i="10"/>
  <c r="G137" i="10"/>
  <c r="G45" i="10"/>
  <c r="G160" i="10"/>
  <c r="H54" i="7"/>
  <c r="F137" i="10"/>
  <c r="F68" i="10"/>
  <c r="F91" i="10"/>
  <c r="G91" i="10"/>
  <c r="G53" i="7"/>
  <c r="G49" i="7"/>
  <c r="C86" i="7"/>
  <c r="L84" i="7"/>
  <c r="G84" i="7" s="1"/>
  <c r="H293" i="2" l="1"/>
  <c r="K21" i="4"/>
  <c r="J21" i="4"/>
  <c r="H290" i="2"/>
  <c r="K18" i="4"/>
  <c r="J18" i="4"/>
  <c r="H289" i="2"/>
  <c r="K17" i="4"/>
  <c r="J17" i="4"/>
  <c r="H306" i="2"/>
  <c r="K34" i="4"/>
  <c r="J34" i="4"/>
  <c r="H294" i="2"/>
  <c r="K22" i="4"/>
  <c r="J22" i="4"/>
  <c r="H305" i="2"/>
  <c r="K33" i="4"/>
  <c r="J33" i="4"/>
  <c r="K14" i="4"/>
  <c r="H286" i="2"/>
  <c r="J14" i="4"/>
  <c r="K26" i="4"/>
  <c r="J26" i="4"/>
  <c r="H298" i="2"/>
  <c r="H307" i="2"/>
  <c r="K35" i="4"/>
  <c r="J35" i="4"/>
  <c r="K29" i="4"/>
  <c r="J29" i="4"/>
  <c r="H301" i="2"/>
  <c r="K16" i="4"/>
  <c r="J16" i="4"/>
  <c r="H288" i="2"/>
  <c r="K28" i="4"/>
  <c r="J28" i="4"/>
  <c r="H300" i="2"/>
  <c r="K27" i="4"/>
  <c r="J27" i="4"/>
  <c r="H299" i="2"/>
  <c r="K32" i="4"/>
  <c r="J32" i="4"/>
  <c r="H304" i="2"/>
  <c r="K15" i="4"/>
  <c r="J15" i="4"/>
  <c r="H287" i="2"/>
  <c r="H292" i="2"/>
  <c r="K20" i="4"/>
  <c r="J20" i="4"/>
  <c r="J30" i="4"/>
  <c r="K30" i="4"/>
  <c r="H302" i="2"/>
  <c r="K25" i="4"/>
  <c r="H297" i="2"/>
  <c r="J25" i="4"/>
  <c r="H291" i="2"/>
  <c r="K19" i="4"/>
  <c r="J19" i="4"/>
  <c r="H308" i="2"/>
  <c r="K36" i="4"/>
  <c r="J36" i="4"/>
  <c r="H280" i="2"/>
  <c r="K8" i="4"/>
  <c r="J8" i="4"/>
  <c r="H296" i="2"/>
  <c r="K24" i="4"/>
  <c r="J24" i="4"/>
  <c r="H279" i="2"/>
  <c r="K7" i="4"/>
  <c r="J7" i="4"/>
  <c r="H295" i="2"/>
  <c r="K23" i="4"/>
  <c r="J23" i="4"/>
  <c r="S20" i="4"/>
  <c r="G20" i="4"/>
  <c r="D20" i="4"/>
  <c r="G14" i="4"/>
  <c r="D14" i="4"/>
  <c r="S14" i="4"/>
  <c r="G27" i="4"/>
  <c r="S27" i="4"/>
  <c r="D27" i="4"/>
  <c r="S36" i="4"/>
  <c r="G36" i="4"/>
  <c r="D36" i="4"/>
  <c r="G15" i="4"/>
  <c r="D15" i="4"/>
  <c r="S15" i="4"/>
  <c r="G30" i="4"/>
  <c r="D30" i="4"/>
  <c r="S30" i="4"/>
  <c r="S35" i="4"/>
  <c r="G35" i="4"/>
  <c r="D35" i="4"/>
  <c r="G26" i="4"/>
  <c r="S26" i="4"/>
  <c r="D26" i="4"/>
  <c r="G23" i="4"/>
  <c r="D23" i="4"/>
  <c r="S23" i="4"/>
  <c r="G25" i="4"/>
  <c r="D25" i="4"/>
  <c r="S25" i="4"/>
  <c r="D22" i="4"/>
  <c r="G22" i="4"/>
  <c r="S22" i="4"/>
  <c r="G8" i="4"/>
  <c r="D8" i="4"/>
  <c r="S8" i="4"/>
  <c r="D32" i="4"/>
  <c r="S32" i="4"/>
  <c r="G32" i="4"/>
  <c r="S19" i="4"/>
  <c r="G19" i="4"/>
  <c r="D19" i="4"/>
  <c r="G7" i="4"/>
  <c r="D7" i="4"/>
  <c r="S7" i="4"/>
  <c r="G24" i="4"/>
  <c r="S24" i="4"/>
  <c r="D24" i="4"/>
  <c r="S21" i="4"/>
  <c r="G21" i="4"/>
  <c r="D21" i="4"/>
  <c r="D29" i="4"/>
  <c r="S29" i="4"/>
  <c r="G29" i="4"/>
  <c r="S18" i="4"/>
  <c r="G18" i="4"/>
  <c r="D18" i="4"/>
  <c r="S34" i="4"/>
  <c r="D34" i="4"/>
  <c r="G34" i="4"/>
  <c r="S28" i="4"/>
  <c r="G28" i="4"/>
  <c r="D28" i="4"/>
  <c r="D17" i="4"/>
  <c r="S17" i="4"/>
  <c r="G17" i="4"/>
  <c r="D33" i="4"/>
  <c r="S33" i="4"/>
  <c r="G33" i="4"/>
  <c r="D16" i="4"/>
  <c r="S16" i="4"/>
  <c r="G16" i="4"/>
  <c r="H54" i="13"/>
  <c r="V36" i="4"/>
  <c r="H38" i="13"/>
  <c r="V20" i="4"/>
  <c r="H55" i="13"/>
  <c r="V37" i="4"/>
  <c r="H50" i="13"/>
  <c r="V32" i="4"/>
  <c r="H34" i="13"/>
  <c r="V16" i="4"/>
  <c r="H51" i="13"/>
  <c r="V33" i="4"/>
  <c r="H40" i="13"/>
  <c r="V22" i="4"/>
  <c r="H43" i="13"/>
  <c r="V25" i="4"/>
  <c r="H37" i="13"/>
  <c r="V19" i="4"/>
  <c r="H44" i="13"/>
  <c r="V26" i="4"/>
  <c r="H46" i="13"/>
  <c r="V28" i="4"/>
  <c r="H39" i="13"/>
  <c r="V21" i="4"/>
  <c r="H52" i="13"/>
  <c r="V34" i="4"/>
  <c r="H48" i="13"/>
  <c r="V30" i="4"/>
  <c r="H53" i="13"/>
  <c r="V35" i="4"/>
  <c r="H49" i="13"/>
  <c r="V31" i="4"/>
  <c r="H45" i="13"/>
  <c r="V27" i="4"/>
  <c r="H42" i="13"/>
  <c r="V24" i="4"/>
  <c r="H41" i="13"/>
  <c r="V23" i="4"/>
  <c r="H35" i="13"/>
  <c r="V17" i="4"/>
  <c r="H47" i="13"/>
  <c r="V29" i="4"/>
  <c r="H36" i="13"/>
  <c r="V18" i="4"/>
  <c r="J61" i="13"/>
  <c r="W4" i="4"/>
  <c r="I62" i="13"/>
  <c r="I63" i="13"/>
  <c r="H68" i="10"/>
  <c r="H183" i="10"/>
  <c r="H229" i="10"/>
  <c r="H160" i="10"/>
  <c r="H206" i="10"/>
  <c r="H45" i="10"/>
  <c r="H137" i="10"/>
  <c r="H91" i="10"/>
  <c r="M18" i="4"/>
  <c r="M17" i="4"/>
  <c r="M16" i="4"/>
  <c r="M15" i="4"/>
  <c r="M14" i="4"/>
  <c r="M13" i="4"/>
  <c r="M12" i="4"/>
  <c r="M11" i="4"/>
  <c r="M10" i="4"/>
  <c r="M9" i="4"/>
  <c r="M8" i="4"/>
  <c r="M7" i="4"/>
  <c r="H23" i="10"/>
  <c r="G23" i="10"/>
  <c r="F23" i="10"/>
  <c r="G22" i="10"/>
  <c r="F22" i="10"/>
  <c r="H19" i="10"/>
  <c r="F19" i="10"/>
  <c r="H18" i="10"/>
  <c r="F18" i="10"/>
  <c r="F17" i="10"/>
  <c r="G17" i="10" s="1"/>
  <c r="H15" i="10"/>
  <c r="F15" i="10"/>
  <c r="H14" i="10"/>
  <c r="F14" i="10"/>
  <c r="F13" i="10"/>
  <c r="G11" i="10"/>
  <c r="G10" i="10"/>
  <c r="G9" i="10"/>
  <c r="E16" i="7"/>
  <c r="D16" i="7"/>
  <c r="C16" i="7"/>
  <c r="B16" i="7"/>
  <c r="A16" i="7"/>
  <c r="J63" i="13" l="1"/>
  <c r="W6" i="4"/>
  <c r="J62" i="13"/>
  <c r="W5" i="4"/>
  <c r="H22" i="10"/>
  <c r="H17" i="10"/>
  <c r="A40" i="7"/>
  <c r="A39" i="7"/>
  <c r="A38" i="7"/>
  <c r="A37" i="7"/>
  <c r="A36" i="7"/>
  <c r="A35" i="7"/>
  <c r="A34" i="7"/>
  <c r="A33" i="7"/>
  <c r="A32" i="7"/>
  <c r="A31" i="7"/>
  <c r="A29" i="7"/>
  <c r="A28" i="7"/>
  <c r="A27" i="7"/>
  <c r="A26" i="7"/>
  <c r="A24" i="7"/>
  <c r="B53" i="7" l="1"/>
  <c r="B29" i="7" s="1"/>
  <c r="F165" i="10" s="1"/>
  <c r="B49" i="7"/>
  <c r="B55" i="7"/>
  <c r="B56" i="7"/>
  <c r="B48" i="7"/>
  <c r="B57" i="7"/>
  <c r="B50" i="7"/>
  <c r="B51" i="7"/>
  <c r="B47" i="7"/>
  <c r="B23" i="7" s="1"/>
  <c r="G75" i="7"/>
  <c r="I75" i="7"/>
  <c r="B75" i="7" s="1"/>
  <c r="B35" i="7" s="1"/>
  <c r="G76" i="7"/>
  <c r="I76" i="7"/>
  <c r="B76" i="7" s="1"/>
  <c r="B36" i="7" s="1"/>
  <c r="G77" i="7"/>
  <c r="I77" i="7"/>
  <c r="B77" i="7" s="1"/>
  <c r="B37" i="7" s="1"/>
  <c r="F213" i="10" s="1"/>
  <c r="C84" i="7"/>
  <c r="I84" i="7" s="1"/>
  <c r="B38" i="7" s="1"/>
  <c r="F99" i="10" s="1"/>
  <c r="C85" i="7"/>
  <c r="K86" i="7"/>
  <c r="C94" i="7"/>
  <c r="C95" i="7"/>
  <c r="D100" i="7"/>
  <c r="B100" i="7" s="1"/>
  <c r="C101" i="7"/>
  <c r="D101" i="7"/>
  <c r="C102" i="7"/>
  <c r="D102" i="7"/>
  <c r="C103" i="7"/>
  <c r="D103" i="7"/>
  <c r="G58" i="7" l="1"/>
  <c r="F76" i="10"/>
  <c r="F142" i="10"/>
  <c r="F29" i="10"/>
  <c r="F191" i="10"/>
  <c r="F30" i="10"/>
  <c r="F73" i="10"/>
  <c r="F122" i="10"/>
  <c r="F121" i="10"/>
  <c r="F188" i="10"/>
  <c r="F145" i="10"/>
  <c r="F190" i="10"/>
  <c r="F96" i="10"/>
  <c r="F27" i="10"/>
  <c r="F214" i="10"/>
  <c r="F211" i="10"/>
  <c r="F144" i="10"/>
  <c r="F6" i="10"/>
  <c r="F75" i="10"/>
  <c r="F53" i="10"/>
  <c r="F168" i="10"/>
  <c r="F119" i="10"/>
  <c r="F50" i="10"/>
  <c r="F52" i="10"/>
  <c r="F167" i="10"/>
  <c r="F98" i="10"/>
  <c r="B34" i="7"/>
  <c r="B31" i="7"/>
  <c r="B33" i="7"/>
  <c r="B32" i="7"/>
  <c r="B24" i="7"/>
  <c r="B28" i="7"/>
  <c r="B25" i="7"/>
  <c r="B27" i="7"/>
  <c r="A17" i="7" s="1"/>
  <c r="B26" i="7"/>
  <c r="F5" i="10" s="1"/>
  <c r="B101" i="7"/>
  <c r="I86" i="7"/>
  <c r="B40" i="7" s="1"/>
  <c r="F7" i="10" s="1"/>
  <c r="B102" i="7"/>
  <c r="I85" i="7"/>
  <c r="B103" i="7"/>
  <c r="B79" i="7"/>
  <c r="D17" i="7" s="1"/>
  <c r="B96" i="7"/>
  <c r="G79" i="7"/>
  <c r="G213" i="10" l="1"/>
  <c r="H213" i="10" s="1"/>
  <c r="G98" i="10"/>
  <c r="H98" i="10" s="1"/>
  <c r="G29" i="10"/>
  <c r="H29" i="10" s="1"/>
  <c r="G144" i="10"/>
  <c r="H144" i="10" s="1"/>
  <c r="G190" i="10"/>
  <c r="H190" i="10" s="1"/>
  <c r="G75" i="10"/>
  <c r="H75" i="10" s="1"/>
  <c r="G121" i="10"/>
  <c r="H121" i="10" s="1"/>
  <c r="G167" i="10"/>
  <c r="H167" i="10" s="1"/>
  <c r="G52" i="10"/>
  <c r="H52" i="10" s="1"/>
  <c r="F182" i="10"/>
  <c r="F205" i="10"/>
  <c r="F228" i="10"/>
  <c r="G174" i="10"/>
  <c r="H174" i="10" s="1"/>
  <c r="G220" i="10"/>
  <c r="H220" i="10" s="1"/>
  <c r="G197" i="10"/>
  <c r="H197" i="10" s="1"/>
  <c r="F49" i="10"/>
  <c r="F4" i="10"/>
  <c r="F141" i="10"/>
  <c r="F26" i="10"/>
  <c r="F210" i="10"/>
  <c r="F95" i="10"/>
  <c r="F118" i="10"/>
  <c r="F187" i="10"/>
  <c r="F72" i="10"/>
  <c r="F164" i="10"/>
  <c r="F3" i="10"/>
  <c r="G188" i="10"/>
  <c r="H188" i="10" s="1"/>
  <c r="G73" i="10"/>
  <c r="H73" i="10" s="1"/>
  <c r="G119" i="10"/>
  <c r="H119" i="10" s="1"/>
  <c r="G165" i="10"/>
  <c r="H165" i="10" s="1"/>
  <c r="G50" i="10"/>
  <c r="H50" i="10" s="1"/>
  <c r="G96" i="10"/>
  <c r="H96" i="10" s="1"/>
  <c r="G211" i="10"/>
  <c r="H211" i="10" s="1"/>
  <c r="G142" i="10"/>
  <c r="H142" i="10" s="1"/>
  <c r="G27" i="10"/>
  <c r="H27" i="10" s="1"/>
  <c r="F189" i="10"/>
  <c r="F74" i="10"/>
  <c r="F143" i="10"/>
  <c r="F28" i="10"/>
  <c r="F51" i="10"/>
  <c r="F120" i="10"/>
  <c r="F212" i="10"/>
  <c r="F166" i="10"/>
  <c r="F97" i="10"/>
  <c r="G128" i="10"/>
  <c r="H128" i="10" s="1"/>
  <c r="G82" i="10"/>
  <c r="H82" i="10" s="1"/>
  <c r="G59" i="10"/>
  <c r="H59" i="10" s="1"/>
  <c r="G105" i="10"/>
  <c r="H105" i="10" s="1"/>
  <c r="G151" i="10"/>
  <c r="H151" i="10" s="1"/>
  <c r="G36" i="10"/>
  <c r="H36" i="10" s="1"/>
  <c r="G13" i="10"/>
  <c r="H13" i="10" s="1"/>
  <c r="G4" i="10"/>
  <c r="F136" i="10"/>
  <c r="F113" i="10"/>
  <c r="F90" i="10"/>
  <c r="F67" i="10"/>
  <c r="F159" i="10"/>
  <c r="F44" i="10"/>
  <c r="F21" i="10"/>
  <c r="G6" i="10"/>
  <c r="H6" i="10" s="1"/>
  <c r="I87" i="7"/>
  <c r="E17" i="7" s="1"/>
  <c r="B39" i="7"/>
  <c r="B105" i="7"/>
  <c r="T7" i="4"/>
  <c r="T8" i="4"/>
  <c r="T9" i="4"/>
  <c r="T10" i="4"/>
  <c r="T11" i="4"/>
  <c r="T12" i="4"/>
  <c r="T13" i="4"/>
  <c r="T14" i="4"/>
  <c r="T15" i="4"/>
  <c r="T16" i="4"/>
  <c r="T17" i="4"/>
  <c r="I3" i="2"/>
  <c r="I4" i="2"/>
  <c r="K4" i="2" s="1"/>
  <c r="I6" i="4" l="1"/>
  <c r="I5" i="4"/>
  <c r="H4" i="10"/>
  <c r="G182" i="10"/>
  <c r="H182" i="10" s="1"/>
  <c r="G205" i="10"/>
  <c r="H205" i="10" s="1"/>
  <c r="G228" i="10"/>
  <c r="H228" i="10" s="1"/>
  <c r="G122" i="10"/>
  <c r="H122" i="10" s="1"/>
  <c r="G53" i="10"/>
  <c r="H53" i="10" s="1"/>
  <c r="G168" i="10"/>
  <c r="H168" i="10" s="1"/>
  <c r="G214" i="10"/>
  <c r="H214" i="10" s="1"/>
  <c r="G99" i="10"/>
  <c r="H99" i="10" s="1"/>
  <c r="G30" i="10"/>
  <c r="H30" i="10" s="1"/>
  <c r="G145" i="10"/>
  <c r="H145" i="10" s="1"/>
  <c r="G191" i="10"/>
  <c r="H191" i="10" s="1"/>
  <c r="G76" i="10"/>
  <c r="H76" i="10" s="1"/>
  <c r="B17" i="7"/>
  <c r="C17" i="7"/>
  <c r="G113" i="10"/>
  <c r="H113" i="10" s="1"/>
  <c r="G90" i="10"/>
  <c r="H90" i="10" s="1"/>
  <c r="G159" i="10"/>
  <c r="H159" i="10" s="1"/>
  <c r="G67" i="10"/>
  <c r="H67" i="10" s="1"/>
  <c r="G44" i="10"/>
  <c r="H44" i="10" s="1"/>
  <c r="G136" i="10"/>
  <c r="H136" i="10" s="1"/>
  <c r="G21" i="10"/>
  <c r="H21" i="10" s="1"/>
  <c r="G7" i="10"/>
  <c r="H7" i="10" s="1"/>
  <c r="G8" i="10"/>
  <c r="C5" i="2"/>
  <c r="K5" i="2" s="1"/>
  <c r="C3" i="2"/>
  <c r="K3" i="2" l="1"/>
  <c r="E5" i="4"/>
  <c r="G212" i="10"/>
  <c r="H212" i="10" s="1"/>
  <c r="G97" i="10"/>
  <c r="H97" i="10" s="1"/>
  <c r="G74" i="10"/>
  <c r="H74" i="10" s="1"/>
  <c r="G120" i="10"/>
  <c r="H120" i="10" s="1"/>
  <c r="G166" i="10"/>
  <c r="H166" i="10" s="1"/>
  <c r="G51" i="10"/>
  <c r="H51" i="10" s="1"/>
  <c r="G143" i="10"/>
  <c r="H143" i="10" s="1"/>
  <c r="G28" i="10"/>
  <c r="H28" i="10" s="1"/>
  <c r="G189" i="10"/>
  <c r="H189" i="10" s="1"/>
  <c r="G164" i="10"/>
  <c r="H164" i="10" s="1"/>
  <c r="G49" i="10"/>
  <c r="H49" i="10" s="1"/>
  <c r="G95" i="10"/>
  <c r="H95" i="10" s="1"/>
  <c r="G210" i="10"/>
  <c r="H210" i="10" s="1"/>
  <c r="G141" i="10"/>
  <c r="H141" i="10" s="1"/>
  <c r="G26" i="10"/>
  <c r="H26" i="10" s="1"/>
  <c r="G72" i="10"/>
  <c r="H72" i="10" s="1"/>
  <c r="G187" i="10"/>
  <c r="H187" i="10" s="1"/>
  <c r="G118" i="10"/>
  <c r="H118" i="10" s="1"/>
  <c r="G5" i="10"/>
  <c r="H5" i="10" s="1"/>
  <c r="G3" i="10"/>
  <c r="E18" i="4"/>
  <c r="E17" i="4"/>
  <c r="E16" i="4"/>
  <c r="E15" i="4"/>
  <c r="E14" i="4"/>
  <c r="E13" i="4"/>
  <c r="E12" i="4"/>
  <c r="E11" i="4"/>
  <c r="E10" i="4"/>
  <c r="E9" i="4"/>
  <c r="E8" i="4"/>
  <c r="E7" i="4"/>
  <c r="E6" i="4"/>
  <c r="F6" i="4" s="1"/>
  <c r="E4" i="4"/>
  <c r="F4" i="4" l="1"/>
  <c r="H3" i="10"/>
  <c r="H6" i="4"/>
  <c r="M6" i="4" s="1"/>
  <c r="N6" i="4" s="1"/>
  <c r="H5" i="4"/>
  <c r="M5" i="4" s="1"/>
  <c r="N5" i="4" s="1"/>
  <c r="H4" i="4"/>
  <c r="E268" i="2"/>
  <c r="D268" i="2"/>
  <c r="F267" i="2"/>
  <c r="E269" i="2" s="1"/>
  <c r="K15" i="1"/>
  <c r="C33" i="13" s="1"/>
  <c r="K14" i="1"/>
  <c r="C32" i="13" s="1"/>
  <c r="K13" i="1"/>
  <c r="C31" i="13" s="1"/>
  <c r="K12" i="1"/>
  <c r="C30" i="13" s="1"/>
  <c r="K11" i="1"/>
  <c r="C29" i="13" s="1"/>
  <c r="K10" i="1"/>
  <c r="C28" i="13" s="1"/>
  <c r="K9" i="1"/>
  <c r="C27" i="13" s="1"/>
  <c r="K8" i="1"/>
  <c r="C26" i="13" s="1"/>
  <c r="K7" i="1"/>
  <c r="C25" i="13" s="1"/>
  <c r="J15" i="1"/>
  <c r="J14" i="1"/>
  <c r="J13" i="1"/>
  <c r="J12" i="1"/>
  <c r="J11" i="1"/>
  <c r="J10" i="1"/>
  <c r="J9" i="1"/>
  <c r="J8" i="1"/>
  <c r="J7" i="1"/>
  <c r="K262" i="2"/>
  <c r="J262" i="2"/>
  <c r="O262" i="2" s="1"/>
  <c r="P262" i="2" s="1"/>
  <c r="I262" i="2"/>
  <c r="L262" i="2" s="1"/>
  <c r="K260" i="2"/>
  <c r="J260" i="2"/>
  <c r="O260" i="2" s="1"/>
  <c r="P260" i="2" s="1"/>
  <c r="I260" i="2"/>
  <c r="L260" i="2" s="1"/>
  <c r="K259" i="2"/>
  <c r="J259" i="2"/>
  <c r="O259" i="2" s="1"/>
  <c r="P259" i="2" s="1"/>
  <c r="I259" i="2"/>
  <c r="L259" i="2" s="1"/>
  <c r="K264" i="2"/>
  <c r="J264" i="2"/>
  <c r="O264" i="2" s="1"/>
  <c r="P264" i="2" s="1"/>
  <c r="I264" i="2"/>
  <c r="L264" i="2" s="1"/>
  <c r="K263" i="2"/>
  <c r="J263" i="2"/>
  <c r="O263" i="2" s="1"/>
  <c r="P263" i="2" s="1"/>
  <c r="I263" i="2"/>
  <c r="L263" i="2" s="1"/>
  <c r="K261" i="2"/>
  <c r="J261" i="2"/>
  <c r="O261" i="2" s="1"/>
  <c r="P261" i="2" s="1"/>
  <c r="I261" i="2"/>
  <c r="L261" i="2" s="1"/>
  <c r="K256" i="2"/>
  <c r="J256" i="2"/>
  <c r="O256" i="2" s="1"/>
  <c r="I256" i="2"/>
  <c r="K254" i="2"/>
  <c r="J254" i="2"/>
  <c r="O254" i="2" s="1"/>
  <c r="I254" i="2"/>
  <c r="K253" i="2"/>
  <c r="J253" i="2"/>
  <c r="O253" i="2" s="1"/>
  <c r="I253" i="2"/>
  <c r="K258" i="2"/>
  <c r="J258" i="2"/>
  <c r="O258" i="2" s="1"/>
  <c r="I258" i="2"/>
  <c r="K257" i="2"/>
  <c r="J257" i="2"/>
  <c r="O257" i="2" s="1"/>
  <c r="I257" i="2"/>
  <c r="K255" i="2"/>
  <c r="J255" i="2"/>
  <c r="O255" i="2" s="1"/>
  <c r="I255" i="2"/>
  <c r="K250" i="2"/>
  <c r="J250" i="2"/>
  <c r="O250" i="2" s="1"/>
  <c r="I250" i="2"/>
  <c r="K248" i="2"/>
  <c r="J248" i="2"/>
  <c r="O248" i="2" s="1"/>
  <c r="I248" i="2"/>
  <c r="N248" i="2" s="1"/>
  <c r="K247" i="2"/>
  <c r="J247" i="2"/>
  <c r="O247" i="2" s="1"/>
  <c r="I247" i="2"/>
  <c r="K252" i="2"/>
  <c r="J252" i="2"/>
  <c r="O252" i="2" s="1"/>
  <c r="I252" i="2"/>
  <c r="K251" i="2"/>
  <c r="J251" i="2"/>
  <c r="O251" i="2" s="1"/>
  <c r="I251" i="2"/>
  <c r="N251" i="2" s="1"/>
  <c r="K249" i="2"/>
  <c r="J249" i="2"/>
  <c r="O249" i="2" s="1"/>
  <c r="I249" i="2"/>
  <c r="K244" i="2"/>
  <c r="J244" i="2"/>
  <c r="O244" i="2" s="1"/>
  <c r="I244" i="2"/>
  <c r="K242" i="2"/>
  <c r="J242" i="2"/>
  <c r="O242" i="2" s="1"/>
  <c r="I242" i="2"/>
  <c r="K241" i="2"/>
  <c r="J241" i="2"/>
  <c r="O241" i="2" s="1"/>
  <c r="I241" i="2"/>
  <c r="K246" i="2"/>
  <c r="J246" i="2"/>
  <c r="O246" i="2" s="1"/>
  <c r="I246" i="2"/>
  <c r="K245" i="2"/>
  <c r="J245" i="2"/>
  <c r="O245" i="2" s="1"/>
  <c r="I245" i="2"/>
  <c r="K243" i="2"/>
  <c r="J243" i="2"/>
  <c r="O243" i="2" s="1"/>
  <c r="I243" i="2"/>
  <c r="K238" i="2"/>
  <c r="J238" i="2"/>
  <c r="O238" i="2" s="1"/>
  <c r="I238" i="2"/>
  <c r="K236" i="2"/>
  <c r="J236" i="2"/>
  <c r="O236" i="2" s="1"/>
  <c r="I236" i="2"/>
  <c r="N236" i="2" s="1"/>
  <c r="K235" i="2"/>
  <c r="J235" i="2"/>
  <c r="O235" i="2" s="1"/>
  <c r="I235" i="2"/>
  <c r="K240" i="2"/>
  <c r="J240" i="2"/>
  <c r="O240" i="2" s="1"/>
  <c r="I240" i="2"/>
  <c r="K239" i="2"/>
  <c r="J239" i="2"/>
  <c r="O239" i="2" s="1"/>
  <c r="I239" i="2"/>
  <c r="N239" i="2" s="1"/>
  <c r="K237" i="2"/>
  <c r="J237" i="2"/>
  <c r="O237" i="2" s="1"/>
  <c r="I237" i="2"/>
  <c r="K232" i="2"/>
  <c r="J232" i="2"/>
  <c r="O232" i="2" s="1"/>
  <c r="I232" i="2"/>
  <c r="K230" i="2"/>
  <c r="J230" i="2"/>
  <c r="O230" i="2" s="1"/>
  <c r="I230" i="2"/>
  <c r="K229" i="2"/>
  <c r="J229" i="2"/>
  <c r="O229" i="2" s="1"/>
  <c r="I229" i="2"/>
  <c r="K234" i="2"/>
  <c r="J234" i="2"/>
  <c r="O234" i="2" s="1"/>
  <c r="I234" i="2"/>
  <c r="K233" i="2"/>
  <c r="J233" i="2"/>
  <c r="O233" i="2" s="1"/>
  <c r="I233" i="2"/>
  <c r="K231" i="2"/>
  <c r="J231" i="2"/>
  <c r="O231" i="2" s="1"/>
  <c r="I231" i="2"/>
  <c r="K226" i="2"/>
  <c r="J226" i="2"/>
  <c r="O226" i="2" s="1"/>
  <c r="I226" i="2"/>
  <c r="K224" i="2"/>
  <c r="J224" i="2"/>
  <c r="O224" i="2" s="1"/>
  <c r="I224" i="2"/>
  <c r="N224" i="2" s="1"/>
  <c r="K223" i="2"/>
  <c r="J223" i="2"/>
  <c r="O223" i="2" s="1"/>
  <c r="I223" i="2"/>
  <c r="K228" i="2"/>
  <c r="J228" i="2"/>
  <c r="O228" i="2" s="1"/>
  <c r="I228" i="2"/>
  <c r="K227" i="2"/>
  <c r="J227" i="2"/>
  <c r="O227" i="2" s="1"/>
  <c r="I227" i="2"/>
  <c r="N227" i="2" s="1"/>
  <c r="K225" i="2"/>
  <c r="J225" i="2"/>
  <c r="O225" i="2" s="1"/>
  <c r="I225" i="2"/>
  <c r="K220" i="2"/>
  <c r="J220" i="2"/>
  <c r="O220" i="2" s="1"/>
  <c r="I220" i="2"/>
  <c r="K218" i="2"/>
  <c r="J218" i="2"/>
  <c r="O218" i="2" s="1"/>
  <c r="I218" i="2"/>
  <c r="K217" i="2"/>
  <c r="J217" i="2"/>
  <c r="O217" i="2" s="1"/>
  <c r="I217" i="2"/>
  <c r="K222" i="2"/>
  <c r="J222" i="2"/>
  <c r="O222" i="2" s="1"/>
  <c r="I222" i="2"/>
  <c r="K221" i="2"/>
  <c r="J221" i="2"/>
  <c r="O221" i="2" s="1"/>
  <c r="I221" i="2"/>
  <c r="K219" i="2"/>
  <c r="J219" i="2"/>
  <c r="O219" i="2" s="1"/>
  <c r="I219" i="2"/>
  <c r="K214" i="2"/>
  <c r="J214" i="2"/>
  <c r="O214" i="2" s="1"/>
  <c r="P214" i="2" s="1"/>
  <c r="I214" i="2"/>
  <c r="L214" i="2" s="1"/>
  <c r="K212" i="2"/>
  <c r="J212" i="2"/>
  <c r="O212" i="2" s="1"/>
  <c r="P212" i="2" s="1"/>
  <c r="I212" i="2"/>
  <c r="L212" i="2" s="1"/>
  <c r="K211" i="2"/>
  <c r="J211" i="2"/>
  <c r="O211" i="2" s="1"/>
  <c r="P211" i="2" s="1"/>
  <c r="I211" i="2"/>
  <c r="L211" i="2" s="1"/>
  <c r="K216" i="2"/>
  <c r="J216" i="2"/>
  <c r="O216" i="2" s="1"/>
  <c r="P216" i="2" s="1"/>
  <c r="I216" i="2"/>
  <c r="L216" i="2" s="1"/>
  <c r="K215" i="2"/>
  <c r="J215" i="2"/>
  <c r="O215" i="2" s="1"/>
  <c r="P215" i="2" s="1"/>
  <c r="I215" i="2"/>
  <c r="L215" i="2" s="1"/>
  <c r="K213" i="2"/>
  <c r="J213" i="2"/>
  <c r="O213" i="2" s="1"/>
  <c r="P213" i="2" s="1"/>
  <c r="I213" i="2"/>
  <c r="L213" i="2" s="1"/>
  <c r="K208" i="2"/>
  <c r="J208" i="2"/>
  <c r="O208" i="2" s="1"/>
  <c r="I208" i="2"/>
  <c r="K206" i="2"/>
  <c r="J206" i="2"/>
  <c r="O206" i="2" s="1"/>
  <c r="I206" i="2"/>
  <c r="K205" i="2"/>
  <c r="J205" i="2"/>
  <c r="O205" i="2" s="1"/>
  <c r="I205" i="2"/>
  <c r="K210" i="2"/>
  <c r="J210" i="2"/>
  <c r="O210" i="2" s="1"/>
  <c r="I210" i="2"/>
  <c r="K209" i="2"/>
  <c r="J209" i="2"/>
  <c r="O209" i="2" s="1"/>
  <c r="I209" i="2"/>
  <c r="K207" i="2"/>
  <c r="J207" i="2"/>
  <c r="O207" i="2" s="1"/>
  <c r="I207" i="2"/>
  <c r="K202" i="2"/>
  <c r="J202" i="2"/>
  <c r="O202" i="2" s="1"/>
  <c r="I202" i="2"/>
  <c r="K200" i="2"/>
  <c r="J200" i="2"/>
  <c r="O200" i="2" s="1"/>
  <c r="I200" i="2"/>
  <c r="N200" i="2" s="1"/>
  <c r="K199" i="2"/>
  <c r="J199" i="2"/>
  <c r="O199" i="2" s="1"/>
  <c r="I199" i="2"/>
  <c r="N199" i="2" s="1"/>
  <c r="K204" i="2"/>
  <c r="J204" i="2"/>
  <c r="O204" i="2" s="1"/>
  <c r="I204" i="2"/>
  <c r="K203" i="2"/>
  <c r="J203" i="2"/>
  <c r="O203" i="2" s="1"/>
  <c r="I203" i="2"/>
  <c r="K201" i="2"/>
  <c r="J201" i="2"/>
  <c r="O201" i="2" s="1"/>
  <c r="I201" i="2"/>
  <c r="K196" i="2"/>
  <c r="J196" i="2"/>
  <c r="O196" i="2" s="1"/>
  <c r="I196" i="2"/>
  <c r="K194" i="2"/>
  <c r="J194" i="2"/>
  <c r="O194" i="2" s="1"/>
  <c r="I194" i="2"/>
  <c r="K193" i="2"/>
  <c r="J193" i="2"/>
  <c r="O193" i="2" s="1"/>
  <c r="I193" i="2"/>
  <c r="K198" i="2"/>
  <c r="J198" i="2"/>
  <c r="O198" i="2" s="1"/>
  <c r="I198" i="2"/>
  <c r="K197" i="2"/>
  <c r="J197" i="2"/>
  <c r="O197" i="2" s="1"/>
  <c r="I197" i="2"/>
  <c r="K195" i="2"/>
  <c r="J195" i="2"/>
  <c r="O195" i="2" s="1"/>
  <c r="I195" i="2"/>
  <c r="K190" i="2"/>
  <c r="J190" i="2"/>
  <c r="O190" i="2" s="1"/>
  <c r="I190" i="2"/>
  <c r="K188" i="2"/>
  <c r="J188" i="2"/>
  <c r="O188" i="2" s="1"/>
  <c r="I188" i="2"/>
  <c r="N188" i="2" s="1"/>
  <c r="K187" i="2"/>
  <c r="J187" i="2"/>
  <c r="O187" i="2" s="1"/>
  <c r="I187" i="2"/>
  <c r="N187" i="2" s="1"/>
  <c r="K192" i="2"/>
  <c r="J192" i="2"/>
  <c r="O192" i="2" s="1"/>
  <c r="I192" i="2"/>
  <c r="K191" i="2"/>
  <c r="J191" i="2"/>
  <c r="O191" i="2" s="1"/>
  <c r="I191" i="2"/>
  <c r="K189" i="2"/>
  <c r="J189" i="2"/>
  <c r="O189" i="2" s="1"/>
  <c r="I189" i="2"/>
  <c r="K184" i="2"/>
  <c r="J184" i="2"/>
  <c r="O184" i="2" s="1"/>
  <c r="I184" i="2"/>
  <c r="K182" i="2"/>
  <c r="J182" i="2"/>
  <c r="O182" i="2" s="1"/>
  <c r="I182" i="2"/>
  <c r="K181" i="2"/>
  <c r="J181" i="2"/>
  <c r="O181" i="2" s="1"/>
  <c r="I181" i="2"/>
  <c r="K186" i="2"/>
  <c r="J186" i="2"/>
  <c r="O186" i="2" s="1"/>
  <c r="I186" i="2"/>
  <c r="K185" i="2"/>
  <c r="J185" i="2"/>
  <c r="O185" i="2" s="1"/>
  <c r="I185" i="2"/>
  <c r="K183" i="2"/>
  <c r="J183" i="2"/>
  <c r="O183" i="2" s="1"/>
  <c r="I183" i="2"/>
  <c r="K178" i="2"/>
  <c r="J178" i="2"/>
  <c r="O178" i="2" s="1"/>
  <c r="I178" i="2"/>
  <c r="K176" i="2"/>
  <c r="J176" i="2"/>
  <c r="O176" i="2" s="1"/>
  <c r="I176" i="2"/>
  <c r="N176" i="2" s="1"/>
  <c r="K175" i="2"/>
  <c r="J175" i="2"/>
  <c r="O175" i="2" s="1"/>
  <c r="I175" i="2"/>
  <c r="N175" i="2" s="1"/>
  <c r="K180" i="2"/>
  <c r="J180" i="2"/>
  <c r="O180" i="2" s="1"/>
  <c r="I180" i="2"/>
  <c r="K179" i="2"/>
  <c r="J179" i="2"/>
  <c r="O179" i="2" s="1"/>
  <c r="I179" i="2"/>
  <c r="K177" i="2"/>
  <c r="J177" i="2"/>
  <c r="O177" i="2" s="1"/>
  <c r="I177" i="2"/>
  <c r="K172" i="2"/>
  <c r="J172" i="2"/>
  <c r="O172" i="2" s="1"/>
  <c r="I172" i="2"/>
  <c r="K170" i="2"/>
  <c r="J170" i="2"/>
  <c r="O170" i="2" s="1"/>
  <c r="I170" i="2"/>
  <c r="K169" i="2"/>
  <c r="J169" i="2"/>
  <c r="O169" i="2" s="1"/>
  <c r="I169" i="2"/>
  <c r="K174" i="2"/>
  <c r="J174" i="2"/>
  <c r="O174" i="2" s="1"/>
  <c r="I174" i="2"/>
  <c r="K173" i="2"/>
  <c r="J173" i="2"/>
  <c r="O173" i="2" s="1"/>
  <c r="I173" i="2"/>
  <c r="K171" i="2"/>
  <c r="J171" i="2"/>
  <c r="O171" i="2" s="1"/>
  <c r="I171" i="2"/>
  <c r="K70" i="2"/>
  <c r="J70" i="2"/>
  <c r="O70" i="2" s="1"/>
  <c r="P70" i="2" s="1"/>
  <c r="I70" i="2"/>
  <c r="L70" i="2" s="1"/>
  <c r="K68" i="2"/>
  <c r="J68" i="2"/>
  <c r="O68" i="2" s="1"/>
  <c r="P68" i="2" s="1"/>
  <c r="I68" i="2"/>
  <c r="L68" i="2" s="1"/>
  <c r="K67" i="2"/>
  <c r="J67" i="2"/>
  <c r="O67" i="2" s="1"/>
  <c r="P67" i="2" s="1"/>
  <c r="I67" i="2"/>
  <c r="L67" i="2" s="1"/>
  <c r="K72" i="2"/>
  <c r="J72" i="2"/>
  <c r="O72" i="2" s="1"/>
  <c r="P72" i="2" s="1"/>
  <c r="I72" i="2"/>
  <c r="L72" i="2" s="1"/>
  <c r="K71" i="2"/>
  <c r="J71" i="2"/>
  <c r="O71" i="2" s="1"/>
  <c r="P71" i="2" s="1"/>
  <c r="I71" i="2"/>
  <c r="L71" i="2" s="1"/>
  <c r="K69" i="2"/>
  <c r="J69" i="2"/>
  <c r="I69" i="2"/>
  <c r="L69" i="2" s="1"/>
  <c r="K64" i="2"/>
  <c r="J64" i="2"/>
  <c r="O64" i="2" s="1"/>
  <c r="I64" i="2"/>
  <c r="K62" i="2"/>
  <c r="J62" i="2"/>
  <c r="O62" i="2" s="1"/>
  <c r="I62" i="2"/>
  <c r="K61" i="2"/>
  <c r="J61" i="2"/>
  <c r="O61" i="2" s="1"/>
  <c r="I61" i="2"/>
  <c r="K66" i="2"/>
  <c r="J66" i="2"/>
  <c r="O66" i="2" s="1"/>
  <c r="I66" i="2"/>
  <c r="K65" i="2"/>
  <c r="J65" i="2"/>
  <c r="O65" i="2" s="1"/>
  <c r="I65" i="2"/>
  <c r="K63" i="2"/>
  <c r="J63" i="2"/>
  <c r="O63" i="2" s="1"/>
  <c r="I63" i="2"/>
  <c r="K58" i="2"/>
  <c r="J58" i="2"/>
  <c r="O58" i="2" s="1"/>
  <c r="I58" i="2"/>
  <c r="N58" i="2" s="1"/>
  <c r="K56" i="2"/>
  <c r="J56" i="2"/>
  <c r="O56" i="2" s="1"/>
  <c r="I56" i="2"/>
  <c r="N56" i="2" s="1"/>
  <c r="K55" i="2"/>
  <c r="J55" i="2"/>
  <c r="O55" i="2" s="1"/>
  <c r="I55" i="2"/>
  <c r="N55" i="2" s="1"/>
  <c r="K60" i="2"/>
  <c r="J60" i="2"/>
  <c r="O60" i="2" s="1"/>
  <c r="I60" i="2"/>
  <c r="N60" i="2" s="1"/>
  <c r="K59" i="2"/>
  <c r="J59" i="2"/>
  <c r="O59" i="2" s="1"/>
  <c r="I59" i="2"/>
  <c r="N59" i="2" s="1"/>
  <c r="K57" i="2"/>
  <c r="J57" i="2"/>
  <c r="O57" i="2" s="1"/>
  <c r="I57" i="2"/>
  <c r="N57" i="2" s="1"/>
  <c r="K52" i="2"/>
  <c r="J52" i="2"/>
  <c r="O52" i="2" s="1"/>
  <c r="I52" i="2"/>
  <c r="K50" i="2"/>
  <c r="J50" i="2"/>
  <c r="O50" i="2" s="1"/>
  <c r="I50" i="2"/>
  <c r="K49" i="2"/>
  <c r="J49" i="2"/>
  <c r="O49" i="2" s="1"/>
  <c r="I49" i="2"/>
  <c r="K54" i="2"/>
  <c r="J54" i="2"/>
  <c r="O54" i="2" s="1"/>
  <c r="I54" i="2"/>
  <c r="K53" i="2"/>
  <c r="J53" i="2"/>
  <c r="O53" i="2" s="1"/>
  <c r="I53" i="2"/>
  <c r="K51" i="2"/>
  <c r="J51" i="2"/>
  <c r="O51" i="2" s="1"/>
  <c r="I51" i="2"/>
  <c r="K46" i="2"/>
  <c r="J46" i="2"/>
  <c r="O46" i="2" s="1"/>
  <c r="I46" i="2"/>
  <c r="K44" i="2"/>
  <c r="J44" i="2"/>
  <c r="O44" i="2" s="1"/>
  <c r="I44" i="2"/>
  <c r="N44" i="2" s="1"/>
  <c r="K43" i="2"/>
  <c r="J43" i="2"/>
  <c r="O43" i="2" s="1"/>
  <c r="I43" i="2"/>
  <c r="N43" i="2" s="1"/>
  <c r="K48" i="2"/>
  <c r="J48" i="2"/>
  <c r="O48" i="2" s="1"/>
  <c r="I48" i="2"/>
  <c r="N48" i="2" s="1"/>
  <c r="K47" i="2"/>
  <c r="J47" i="2"/>
  <c r="O47" i="2" s="1"/>
  <c r="I47" i="2"/>
  <c r="N47" i="2" s="1"/>
  <c r="K45" i="2"/>
  <c r="J45" i="2"/>
  <c r="O45" i="2" s="1"/>
  <c r="I45" i="2"/>
  <c r="N45" i="2" s="1"/>
  <c r="K40" i="2"/>
  <c r="J40" i="2"/>
  <c r="O40" i="2" s="1"/>
  <c r="I40" i="2"/>
  <c r="K38" i="2"/>
  <c r="J38" i="2"/>
  <c r="O38" i="2" s="1"/>
  <c r="I38" i="2"/>
  <c r="K37" i="2"/>
  <c r="J37" i="2"/>
  <c r="O37" i="2" s="1"/>
  <c r="I37" i="2"/>
  <c r="K42" i="2"/>
  <c r="J42" i="2"/>
  <c r="O42" i="2" s="1"/>
  <c r="I42" i="2"/>
  <c r="K41" i="2"/>
  <c r="J41" i="2"/>
  <c r="O41" i="2" s="1"/>
  <c r="I41" i="2"/>
  <c r="K39" i="2"/>
  <c r="J39" i="2"/>
  <c r="O39" i="2" s="1"/>
  <c r="I39" i="2"/>
  <c r="K34" i="2"/>
  <c r="J34" i="2"/>
  <c r="O34" i="2" s="1"/>
  <c r="I34" i="2"/>
  <c r="K32" i="2"/>
  <c r="J32" i="2"/>
  <c r="O32" i="2" s="1"/>
  <c r="I32" i="2"/>
  <c r="N32" i="2" s="1"/>
  <c r="K31" i="2"/>
  <c r="J31" i="2"/>
  <c r="O31" i="2" s="1"/>
  <c r="I31" i="2"/>
  <c r="N31" i="2" s="1"/>
  <c r="K36" i="2"/>
  <c r="J36" i="2"/>
  <c r="O36" i="2" s="1"/>
  <c r="I36" i="2"/>
  <c r="N36" i="2" s="1"/>
  <c r="K35" i="2"/>
  <c r="J35" i="2"/>
  <c r="O35" i="2" s="1"/>
  <c r="I35" i="2"/>
  <c r="N35" i="2" s="1"/>
  <c r="K33" i="2"/>
  <c r="J33" i="2"/>
  <c r="O33" i="2" s="1"/>
  <c r="I33" i="2"/>
  <c r="N33" i="2" s="1"/>
  <c r="K28" i="2"/>
  <c r="J28" i="2"/>
  <c r="O28" i="2" s="1"/>
  <c r="I28" i="2"/>
  <c r="K26" i="2"/>
  <c r="J26" i="2"/>
  <c r="O26" i="2" s="1"/>
  <c r="I26" i="2"/>
  <c r="K25" i="2"/>
  <c r="J25" i="2"/>
  <c r="O25" i="2" s="1"/>
  <c r="I25" i="2"/>
  <c r="K30" i="2"/>
  <c r="J30" i="2"/>
  <c r="O30" i="2" s="1"/>
  <c r="I30" i="2"/>
  <c r="K29" i="2"/>
  <c r="J29" i="2"/>
  <c r="O29" i="2" s="1"/>
  <c r="I29" i="2"/>
  <c r="K27" i="2"/>
  <c r="J27" i="2"/>
  <c r="O27" i="2" s="1"/>
  <c r="I27" i="2"/>
  <c r="K166" i="2"/>
  <c r="J166" i="2"/>
  <c r="O166" i="2" s="1"/>
  <c r="P166" i="2" s="1"/>
  <c r="I166" i="2"/>
  <c r="L166" i="2" s="1"/>
  <c r="K164" i="2"/>
  <c r="J164" i="2"/>
  <c r="O164" i="2" s="1"/>
  <c r="P164" i="2" s="1"/>
  <c r="I164" i="2"/>
  <c r="L164" i="2" s="1"/>
  <c r="K163" i="2"/>
  <c r="J163" i="2"/>
  <c r="O163" i="2" s="1"/>
  <c r="P163" i="2" s="1"/>
  <c r="I163" i="2"/>
  <c r="L163" i="2" s="1"/>
  <c r="K168" i="2"/>
  <c r="J168" i="2"/>
  <c r="O168" i="2" s="1"/>
  <c r="P168" i="2" s="1"/>
  <c r="I168" i="2"/>
  <c r="L168" i="2" s="1"/>
  <c r="K167" i="2"/>
  <c r="J167" i="2"/>
  <c r="O167" i="2" s="1"/>
  <c r="P167" i="2" s="1"/>
  <c r="I167" i="2"/>
  <c r="L167" i="2" s="1"/>
  <c r="K165" i="2"/>
  <c r="J165" i="2"/>
  <c r="O165" i="2" s="1"/>
  <c r="P165" i="2" s="1"/>
  <c r="I165" i="2"/>
  <c r="L165" i="2" s="1"/>
  <c r="K160" i="2"/>
  <c r="J160" i="2"/>
  <c r="O160" i="2" s="1"/>
  <c r="I160" i="2"/>
  <c r="K158" i="2"/>
  <c r="J158" i="2"/>
  <c r="O158" i="2" s="1"/>
  <c r="I158" i="2"/>
  <c r="K157" i="2"/>
  <c r="J157" i="2"/>
  <c r="O157" i="2" s="1"/>
  <c r="I157" i="2"/>
  <c r="K162" i="2"/>
  <c r="J162" i="2"/>
  <c r="O162" i="2" s="1"/>
  <c r="I162" i="2"/>
  <c r="K161" i="2"/>
  <c r="J161" i="2"/>
  <c r="O161" i="2" s="1"/>
  <c r="I161" i="2"/>
  <c r="K159" i="2"/>
  <c r="J159" i="2"/>
  <c r="O159" i="2" s="1"/>
  <c r="I159" i="2"/>
  <c r="K154" i="2"/>
  <c r="J154" i="2"/>
  <c r="O154" i="2" s="1"/>
  <c r="I154" i="2"/>
  <c r="N154" i="2" s="1"/>
  <c r="K152" i="2"/>
  <c r="J152" i="2"/>
  <c r="O152" i="2" s="1"/>
  <c r="I152" i="2"/>
  <c r="N152" i="2" s="1"/>
  <c r="K151" i="2"/>
  <c r="J151" i="2"/>
  <c r="O151" i="2" s="1"/>
  <c r="I151" i="2"/>
  <c r="N151" i="2" s="1"/>
  <c r="K156" i="2"/>
  <c r="J156" i="2"/>
  <c r="O156" i="2" s="1"/>
  <c r="I156" i="2"/>
  <c r="N156" i="2" s="1"/>
  <c r="K155" i="2"/>
  <c r="J155" i="2"/>
  <c r="O155" i="2" s="1"/>
  <c r="I155" i="2"/>
  <c r="N155" i="2" s="1"/>
  <c r="K153" i="2"/>
  <c r="J153" i="2"/>
  <c r="O153" i="2" s="1"/>
  <c r="I153" i="2"/>
  <c r="N153" i="2" s="1"/>
  <c r="K148" i="2"/>
  <c r="J148" i="2"/>
  <c r="O148" i="2" s="1"/>
  <c r="I148" i="2"/>
  <c r="K146" i="2"/>
  <c r="J146" i="2"/>
  <c r="O146" i="2" s="1"/>
  <c r="I146" i="2"/>
  <c r="K145" i="2"/>
  <c r="J145" i="2"/>
  <c r="O145" i="2" s="1"/>
  <c r="I145" i="2"/>
  <c r="K150" i="2"/>
  <c r="J150" i="2"/>
  <c r="O150" i="2" s="1"/>
  <c r="I150" i="2"/>
  <c r="K149" i="2"/>
  <c r="J149" i="2"/>
  <c r="O149" i="2" s="1"/>
  <c r="I149" i="2"/>
  <c r="K147" i="2"/>
  <c r="J147" i="2"/>
  <c r="O147" i="2" s="1"/>
  <c r="I147" i="2"/>
  <c r="K142" i="2"/>
  <c r="J142" i="2"/>
  <c r="O142" i="2" s="1"/>
  <c r="I142" i="2"/>
  <c r="K140" i="2"/>
  <c r="J140" i="2"/>
  <c r="O140" i="2" s="1"/>
  <c r="I140" i="2"/>
  <c r="N140" i="2" s="1"/>
  <c r="K139" i="2"/>
  <c r="J139" i="2"/>
  <c r="O139" i="2" s="1"/>
  <c r="I139" i="2"/>
  <c r="K144" i="2"/>
  <c r="J144" i="2"/>
  <c r="O144" i="2" s="1"/>
  <c r="I144" i="2"/>
  <c r="N144" i="2" s="1"/>
  <c r="K143" i="2"/>
  <c r="J143" i="2"/>
  <c r="O143" i="2" s="1"/>
  <c r="I143" i="2"/>
  <c r="N143" i="2" s="1"/>
  <c r="K141" i="2"/>
  <c r="J141" i="2"/>
  <c r="O141" i="2" s="1"/>
  <c r="I141" i="2"/>
  <c r="N141" i="2" s="1"/>
  <c r="K136" i="2"/>
  <c r="J136" i="2"/>
  <c r="O136" i="2" s="1"/>
  <c r="I136" i="2"/>
  <c r="K134" i="2"/>
  <c r="J134" i="2"/>
  <c r="O134" i="2" s="1"/>
  <c r="I134" i="2"/>
  <c r="K133" i="2"/>
  <c r="J133" i="2"/>
  <c r="O133" i="2" s="1"/>
  <c r="I133" i="2"/>
  <c r="K138" i="2"/>
  <c r="J138" i="2"/>
  <c r="O138" i="2" s="1"/>
  <c r="I138" i="2"/>
  <c r="K137" i="2"/>
  <c r="J137" i="2"/>
  <c r="O137" i="2" s="1"/>
  <c r="I137" i="2"/>
  <c r="K135" i="2"/>
  <c r="J135" i="2"/>
  <c r="O135" i="2" s="1"/>
  <c r="I135" i="2"/>
  <c r="K130" i="2"/>
  <c r="J130" i="2"/>
  <c r="O130" i="2" s="1"/>
  <c r="I130" i="2"/>
  <c r="K128" i="2"/>
  <c r="J128" i="2"/>
  <c r="O128" i="2" s="1"/>
  <c r="I128" i="2"/>
  <c r="N128" i="2" s="1"/>
  <c r="K127" i="2"/>
  <c r="J127" i="2"/>
  <c r="O127" i="2" s="1"/>
  <c r="I127" i="2"/>
  <c r="K132" i="2"/>
  <c r="J132" i="2"/>
  <c r="O132" i="2" s="1"/>
  <c r="I132" i="2"/>
  <c r="N132" i="2" s="1"/>
  <c r="K131" i="2"/>
  <c r="J131" i="2"/>
  <c r="O131" i="2" s="1"/>
  <c r="I131" i="2"/>
  <c r="N131" i="2" s="1"/>
  <c r="K129" i="2"/>
  <c r="J129" i="2"/>
  <c r="O129" i="2" s="1"/>
  <c r="I129" i="2"/>
  <c r="N129" i="2" s="1"/>
  <c r="K124" i="2"/>
  <c r="J124" i="2"/>
  <c r="O124" i="2" s="1"/>
  <c r="I124" i="2"/>
  <c r="K122" i="2"/>
  <c r="J122" i="2"/>
  <c r="O122" i="2" s="1"/>
  <c r="I122" i="2"/>
  <c r="K121" i="2"/>
  <c r="J121" i="2"/>
  <c r="O121" i="2" s="1"/>
  <c r="I121" i="2"/>
  <c r="K126" i="2"/>
  <c r="J126" i="2"/>
  <c r="O126" i="2" s="1"/>
  <c r="I126" i="2"/>
  <c r="K125" i="2"/>
  <c r="J125" i="2"/>
  <c r="O125" i="2" s="1"/>
  <c r="I125" i="2"/>
  <c r="K123" i="2"/>
  <c r="J123" i="2"/>
  <c r="O123" i="2" s="1"/>
  <c r="I123" i="2"/>
  <c r="K118" i="2"/>
  <c r="J118" i="2"/>
  <c r="O118" i="2" s="1"/>
  <c r="P118" i="2" s="1"/>
  <c r="I118" i="2"/>
  <c r="L118" i="2" s="1"/>
  <c r="K116" i="2"/>
  <c r="J116" i="2"/>
  <c r="O116" i="2" s="1"/>
  <c r="P116" i="2" s="1"/>
  <c r="I116" i="2"/>
  <c r="L116" i="2" s="1"/>
  <c r="K115" i="2"/>
  <c r="J115" i="2"/>
  <c r="O115" i="2" s="1"/>
  <c r="P115" i="2" s="1"/>
  <c r="I115" i="2"/>
  <c r="L115" i="2" s="1"/>
  <c r="K120" i="2"/>
  <c r="J120" i="2"/>
  <c r="O120" i="2" s="1"/>
  <c r="P120" i="2" s="1"/>
  <c r="I120" i="2"/>
  <c r="L120" i="2" s="1"/>
  <c r="K119" i="2"/>
  <c r="J119" i="2"/>
  <c r="O119" i="2" s="1"/>
  <c r="P119" i="2" s="1"/>
  <c r="I119" i="2"/>
  <c r="L119" i="2" s="1"/>
  <c r="K117" i="2"/>
  <c r="J117" i="2"/>
  <c r="O117" i="2" s="1"/>
  <c r="P117" i="2" s="1"/>
  <c r="I117" i="2"/>
  <c r="L117" i="2" s="1"/>
  <c r="K112" i="2"/>
  <c r="J112" i="2"/>
  <c r="O112" i="2" s="1"/>
  <c r="I112" i="2"/>
  <c r="K110" i="2"/>
  <c r="J110" i="2"/>
  <c r="O110" i="2" s="1"/>
  <c r="I110" i="2"/>
  <c r="K109" i="2"/>
  <c r="J109" i="2"/>
  <c r="O109" i="2" s="1"/>
  <c r="I109" i="2"/>
  <c r="K114" i="2"/>
  <c r="J114" i="2"/>
  <c r="O114" i="2" s="1"/>
  <c r="I114" i="2"/>
  <c r="K113" i="2"/>
  <c r="J113" i="2"/>
  <c r="O113" i="2" s="1"/>
  <c r="I113" i="2"/>
  <c r="K111" i="2"/>
  <c r="J111" i="2"/>
  <c r="O111" i="2" s="1"/>
  <c r="I111" i="2"/>
  <c r="K106" i="2"/>
  <c r="J106" i="2"/>
  <c r="O106" i="2" s="1"/>
  <c r="I106" i="2"/>
  <c r="N106" i="2" s="1"/>
  <c r="K104" i="2"/>
  <c r="J104" i="2"/>
  <c r="O104" i="2" s="1"/>
  <c r="I104" i="2"/>
  <c r="N104" i="2" s="1"/>
  <c r="K103" i="2"/>
  <c r="J103" i="2"/>
  <c r="O103" i="2" s="1"/>
  <c r="I103" i="2"/>
  <c r="K108" i="2"/>
  <c r="J108" i="2"/>
  <c r="O108" i="2" s="1"/>
  <c r="I108" i="2"/>
  <c r="N108" i="2" s="1"/>
  <c r="K107" i="2"/>
  <c r="J107" i="2"/>
  <c r="O107" i="2" s="1"/>
  <c r="I107" i="2"/>
  <c r="N107" i="2" s="1"/>
  <c r="K105" i="2"/>
  <c r="J105" i="2"/>
  <c r="O105" i="2" s="1"/>
  <c r="I105" i="2"/>
  <c r="N105" i="2" s="1"/>
  <c r="K100" i="2"/>
  <c r="J100" i="2"/>
  <c r="O100" i="2" s="1"/>
  <c r="I100" i="2"/>
  <c r="K98" i="2"/>
  <c r="J98" i="2"/>
  <c r="O98" i="2" s="1"/>
  <c r="I98" i="2"/>
  <c r="K97" i="2"/>
  <c r="J97" i="2"/>
  <c r="O97" i="2" s="1"/>
  <c r="I97" i="2"/>
  <c r="K102" i="2"/>
  <c r="J102" i="2"/>
  <c r="O102" i="2" s="1"/>
  <c r="I102" i="2"/>
  <c r="K101" i="2"/>
  <c r="J101" i="2"/>
  <c r="O101" i="2" s="1"/>
  <c r="I101" i="2"/>
  <c r="K99" i="2"/>
  <c r="J99" i="2"/>
  <c r="O99" i="2" s="1"/>
  <c r="I99" i="2"/>
  <c r="K94" i="2"/>
  <c r="J94" i="2"/>
  <c r="O94" i="2" s="1"/>
  <c r="I94" i="2"/>
  <c r="K92" i="2"/>
  <c r="J92" i="2"/>
  <c r="O92" i="2" s="1"/>
  <c r="I92" i="2"/>
  <c r="K91" i="2"/>
  <c r="J91" i="2"/>
  <c r="O91" i="2" s="1"/>
  <c r="I91" i="2"/>
  <c r="K96" i="2"/>
  <c r="J96" i="2"/>
  <c r="O96" i="2" s="1"/>
  <c r="I96" i="2"/>
  <c r="K95" i="2"/>
  <c r="J95" i="2"/>
  <c r="O95" i="2" s="1"/>
  <c r="I95" i="2"/>
  <c r="K93" i="2"/>
  <c r="J93" i="2"/>
  <c r="O93" i="2" s="1"/>
  <c r="I93" i="2"/>
  <c r="K88" i="2"/>
  <c r="J88" i="2"/>
  <c r="O88" i="2" s="1"/>
  <c r="I88" i="2"/>
  <c r="K86" i="2"/>
  <c r="J86" i="2"/>
  <c r="O86" i="2" s="1"/>
  <c r="I86" i="2"/>
  <c r="K85" i="2"/>
  <c r="J85" i="2"/>
  <c r="O85" i="2" s="1"/>
  <c r="I85" i="2"/>
  <c r="K90" i="2"/>
  <c r="J90" i="2"/>
  <c r="O90" i="2" s="1"/>
  <c r="I90" i="2"/>
  <c r="K89" i="2"/>
  <c r="J89" i="2"/>
  <c r="O89" i="2" s="1"/>
  <c r="I89" i="2"/>
  <c r="K87" i="2"/>
  <c r="J87" i="2"/>
  <c r="O87" i="2" s="1"/>
  <c r="I87" i="2"/>
  <c r="K82" i="2"/>
  <c r="J82" i="2"/>
  <c r="O82" i="2" s="1"/>
  <c r="I82" i="2"/>
  <c r="K80" i="2"/>
  <c r="J80" i="2"/>
  <c r="O80" i="2" s="1"/>
  <c r="I80" i="2"/>
  <c r="K79" i="2"/>
  <c r="J79" i="2"/>
  <c r="O79" i="2" s="1"/>
  <c r="I79" i="2"/>
  <c r="K84" i="2"/>
  <c r="J84" i="2"/>
  <c r="O84" i="2" s="1"/>
  <c r="I84" i="2"/>
  <c r="K83" i="2"/>
  <c r="J83" i="2"/>
  <c r="O83" i="2" s="1"/>
  <c r="I83" i="2"/>
  <c r="K81" i="2"/>
  <c r="J81" i="2"/>
  <c r="O81" i="2" s="1"/>
  <c r="I81" i="2"/>
  <c r="K76" i="2"/>
  <c r="J76" i="2"/>
  <c r="O76" i="2" s="1"/>
  <c r="I76" i="2"/>
  <c r="K74" i="2"/>
  <c r="J74" i="2"/>
  <c r="O74" i="2" s="1"/>
  <c r="I74" i="2"/>
  <c r="K73" i="2"/>
  <c r="J73" i="2"/>
  <c r="O73" i="2" s="1"/>
  <c r="I73" i="2"/>
  <c r="K78" i="2"/>
  <c r="J78" i="2"/>
  <c r="O78" i="2" s="1"/>
  <c r="I78" i="2"/>
  <c r="K77" i="2"/>
  <c r="J77" i="2"/>
  <c r="O77" i="2" s="1"/>
  <c r="I77" i="2"/>
  <c r="K75" i="2"/>
  <c r="J75" i="2"/>
  <c r="O75" i="2" s="1"/>
  <c r="I75" i="2"/>
  <c r="H262" i="2"/>
  <c r="H260" i="2"/>
  <c r="H259" i="2"/>
  <c r="H264" i="2"/>
  <c r="H263" i="2"/>
  <c r="H261" i="2"/>
  <c r="H256" i="2"/>
  <c r="H254" i="2"/>
  <c r="H253" i="2"/>
  <c r="H258" i="2"/>
  <c r="H257" i="2"/>
  <c r="H255" i="2"/>
  <c r="H250" i="2"/>
  <c r="H248" i="2"/>
  <c r="H247" i="2"/>
  <c r="H252" i="2"/>
  <c r="H251" i="2"/>
  <c r="H249" i="2"/>
  <c r="H244" i="2"/>
  <c r="H242" i="2"/>
  <c r="H241" i="2"/>
  <c r="H246" i="2"/>
  <c r="H245" i="2"/>
  <c r="H243" i="2"/>
  <c r="H238" i="2"/>
  <c r="H236" i="2"/>
  <c r="H235" i="2"/>
  <c r="H240" i="2"/>
  <c r="H239" i="2"/>
  <c r="H237" i="2"/>
  <c r="H232" i="2"/>
  <c r="H230" i="2"/>
  <c r="H229" i="2"/>
  <c r="H234" i="2"/>
  <c r="H233" i="2"/>
  <c r="H231" i="2"/>
  <c r="H226" i="2"/>
  <c r="H224" i="2"/>
  <c r="H223" i="2"/>
  <c r="H228" i="2"/>
  <c r="H227" i="2"/>
  <c r="H225" i="2"/>
  <c r="H220" i="2"/>
  <c r="H218" i="2"/>
  <c r="H217" i="2"/>
  <c r="H222" i="2"/>
  <c r="H221" i="2"/>
  <c r="H219" i="2"/>
  <c r="H214" i="2"/>
  <c r="H212" i="2"/>
  <c r="H211" i="2"/>
  <c r="H216" i="2"/>
  <c r="H215" i="2"/>
  <c r="H213" i="2"/>
  <c r="H208" i="2"/>
  <c r="H206" i="2"/>
  <c r="H205" i="2"/>
  <c r="H210" i="2"/>
  <c r="H209" i="2"/>
  <c r="H207" i="2"/>
  <c r="H202" i="2"/>
  <c r="H200" i="2"/>
  <c r="H199" i="2"/>
  <c r="H204" i="2"/>
  <c r="H203" i="2"/>
  <c r="H201" i="2"/>
  <c r="H196" i="2"/>
  <c r="H194" i="2"/>
  <c r="H193" i="2"/>
  <c r="H198" i="2"/>
  <c r="H197" i="2"/>
  <c r="H195" i="2"/>
  <c r="H190" i="2"/>
  <c r="H188" i="2"/>
  <c r="H187" i="2"/>
  <c r="H192" i="2"/>
  <c r="H191" i="2"/>
  <c r="H189" i="2"/>
  <c r="H184" i="2"/>
  <c r="H182" i="2"/>
  <c r="H181" i="2"/>
  <c r="H186" i="2"/>
  <c r="H185" i="2"/>
  <c r="H183" i="2"/>
  <c r="H178" i="2"/>
  <c r="H176" i="2"/>
  <c r="H175" i="2"/>
  <c r="H180" i="2"/>
  <c r="H179" i="2"/>
  <c r="H177" i="2"/>
  <c r="H172" i="2"/>
  <c r="H170" i="2"/>
  <c r="H169" i="2"/>
  <c r="H174" i="2"/>
  <c r="H173" i="2"/>
  <c r="H171" i="2"/>
  <c r="H70" i="2"/>
  <c r="H68" i="2"/>
  <c r="H67" i="2"/>
  <c r="H72" i="2"/>
  <c r="H71" i="2"/>
  <c r="H69" i="2"/>
  <c r="H64" i="2"/>
  <c r="H62" i="2"/>
  <c r="H61" i="2"/>
  <c r="H66" i="2"/>
  <c r="H65" i="2"/>
  <c r="H63" i="2"/>
  <c r="H58" i="2"/>
  <c r="H56" i="2"/>
  <c r="H55" i="2"/>
  <c r="H60" i="2"/>
  <c r="H59" i="2"/>
  <c r="H57" i="2"/>
  <c r="H52" i="2"/>
  <c r="H50" i="2"/>
  <c r="H49" i="2"/>
  <c r="H54" i="2"/>
  <c r="H53" i="2"/>
  <c r="H51" i="2"/>
  <c r="H46" i="2"/>
  <c r="H44" i="2"/>
  <c r="H43" i="2"/>
  <c r="H48" i="2"/>
  <c r="H47" i="2"/>
  <c r="H45" i="2"/>
  <c r="H40" i="2"/>
  <c r="H38" i="2"/>
  <c r="H37" i="2"/>
  <c r="H42" i="2"/>
  <c r="H41" i="2"/>
  <c r="H39" i="2"/>
  <c r="H34" i="2"/>
  <c r="H32" i="2"/>
  <c r="H31" i="2"/>
  <c r="H36" i="2"/>
  <c r="H35" i="2"/>
  <c r="H33" i="2"/>
  <c r="H28" i="2"/>
  <c r="H26" i="2"/>
  <c r="H25" i="2"/>
  <c r="H30" i="2"/>
  <c r="H29" i="2"/>
  <c r="H27" i="2"/>
  <c r="H166" i="2"/>
  <c r="H164" i="2"/>
  <c r="H163" i="2"/>
  <c r="H168" i="2"/>
  <c r="H167" i="2"/>
  <c r="H165" i="2"/>
  <c r="H160" i="2"/>
  <c r="H158" i="2"/>
  <c r="H157" i="2"/>
  <c r="H162" i="2"/>
  <c r="H161" i="2"/>
  <c r="H159" i="2"/>
  <c r="H154" i="2"/>
  <c r="H152" i="2"/>
  <c r="H151" i="2"/>
  <c r="H156" i="2"/>
  <c r="H155" i="2"/>
  <c r="H153" i="2"/>
  <c r="H148" i="2"/>
  <c r="H146" i="2"/>
  <c r="H145" i="2"/>
  <c r="H150" i="2"/>
  <c r="H149" i="2"/>
  <c r="H147" i="2"/>
  <c r="H142" i="2"/>
  <c r="H140" i="2"/>
  <c r="H139" i="2"/>
  <c r="H144" i="2"/>
  <c r="H143" i="2"/>
  <c r="H141" i="2"/>
  <c r="H136" i="2"/>
  <c r="H134" i="2"/>
  <c r="H133" i="2"/>
  <c r="H138" i="2"/>
  <c r="H137" i="2"/>
  <c r="H135" i="2"/>
  <c r="H130" i="2"/>
  <c r="H128" i="2"/>
  <c r="H127" i="2"/>
  <c r="H132" i="2"/>
  <c r="H131" i="2"/>
  <c r="H129" i="2"/>
  <c r="H124" i="2"/>
  <c r="H122" i="2"/>
  <c r="H121" i="2"/>
  <c r="H126" i="2"/>
  <c r="H125" i="2"/>
  <c r="H123" i="2"/>
  <c r="H118" i="2"/>
  <c r="H116" i="2"/>
  <c r="H115" i="2"/>
  <c r="H120" i="2"/>
  <c r="H119" i="2"/>
  <c r="H117" i="2"/>
  <c r="H112" i="2"/>
  <c r="H110" i="2"/>
  <c r="H109" i="2"/>
  <c r="H114" i="2"/>
  <c r="H113" i="2"/>
  <c r="H111" i="2"/>
  <c r="H106" i="2"/>
  <c r="H104" i="2"/>
  <c r="H103" i="2"/>
  <c r="H108" i="2"/>
  <c r="H107" i="2"/>
  <c r="H105" i="2"/>
  <c r="H100" i="2"/>
  <c r="H98" i="2"/>
  <c r="H97" i="2"/>
  <c r="H102" i="2"/>
  <c r="H101" i="2"/>
  <c r="H99" i="2"/>
  <c r="H94" i="2"/>
  <c r="H92" i="2"/>
  <c r="H91" i="2"/>
  <c r="H96" i="2"/>
  <c r="H95" i="2"/>
  <c r="H93" i="2"/>
  <c r="H88" i="2"/>
  <c r="H86" i="2"/>
  <c r="H85" i="2"/>
  <c r="H90" i="2"/>
  <c r="H89" i="2"/>
  <c r="H87" i="2"/>
  <c r="H82" i="2"/>
  <c r="H80" i="2"/>
  <c r="H79" i="2"/>
  <c r="H84" i="2"/>
  <c r="H83" i="2"/>
  <c r="H81" i="2"/>
  <c r="H76" i="2"/>
  <c r="H74" i="2"/>
  <c r="H73" i="2"/>
  <c r="H78" i="2"/>
  <c r="H77" i="2"/>
  <c r="H75" i="2"/>
  <c r="K6" i="1" l="1"/>
  <c r="C24" i="13" s="1"/>
  <c r="N111" i="2"/>
  <c r="P111" i="2" s="1"/>
  <c r="N159" i="2"/>
  <c r="P159" i="2" s="1"/>
  <c r="L159" i="2"/>
  <c r="N26" i="2"/>
  <c r="P26" i="2" s="1"/>
  <c r="L48" i="2"/>
  <c r="P48" i="2"/>
  <c r="N63" i="2"/>
  <c r="P63" i="2" s="1"/>
  <c r="N170" i="2"/>
  <c r="P170" i="2" s="1"/>
  <c r="L170" i="2"/>
  <c r="N192" i="2"/>
  <c r="P192" i="2" s="1"/>
  <c r="L192" i="2"/>
  <c r="N207" i="2"/>
  <c r="P207" i="2" s="1"/>
  <c r="N218" i="2"/>
  <c r="P218" i="2" s="1"/>
  <c r="N240" i="2"/>
  <c r="P240" i="2" s="1"/>
  <c r="N255" i="2"/>
  <c r="P255" i="2" s="1"/>
  <c r="N37" i="2"/>
  <c r="P37" i="2" s="1"/>
  <c r="L59" i="2"/>
  <c r="P59" i="2"/>
  <c r="N181" i="2"/>
  <c r="P181" i="2" s="1"/>
  <c r="N203" i="2"/>
  <c r="P203" i="2" s="1"/>
  <c r="N229" i="2"/>
  <c r="P229" i="2" s="1"/>
  <c r="L229" i="2"/>
  <c r="L251" i="2"/>
  <c r="P251" i="2"/>
  <c r="L32" i="2"/>
  <c r="P32" i="2"/>
  <c r="N54" i="2"/>
  <c r="P54" i="2" s="1"/>
  <c r="L176" i="2"/>
  <c r="P176" i="2"/>
  <c r="N198" i="2"/>
  <c r="P198" i="2" s="1"/>
  <c r="L224" i="2"/>
  <c r="P224" i="2"/>
  <c r="N246" i="2"/>
  <c r="P246" i="2" s="1"/>
  <c r="N76" i="2"/>
  <c r="P76" i="2" s="1"/>
  <c r="N91" i="2"/>
  <c r="P91" i="2" s="1"/>
  <c r="N113" i="2"/>
  <c r="P113" i="2" s="1"/>
  <c r="L113" i="2"/>
  <c r="N124" i="2"/>
  <c r="P124" i="2" s="1"/>
  <c r="N139" i="2"/>
  <c r="P139" i="2" s="1"/>
  <c r="N161" i="2"/>
  <c r="P161" i="2" s="1"/>
  <c r="N28" i="2"/>
  <c r="P28" i="2" s="1"/>
  <c r="L43" i="2"/>
  <c r="P43" i="2"/>
  <c r="N65" i="2"/>
  <c r="P65" i="2" s="1"/>
  <c r="N172" i="2"/>
  <c r="P172" i="2" s="1"/>
  <c r="L187" i="2"/>
  <c r="P187" i="2"/>
  <c r="N209" i="2"/>
  <c r="P209" i="2" s="1"/>
  <c r="N220" i="2"/>
  <c r="P220" i="2" s="1"/>
  <c r="L220" i="2"/>
  <c r="N235" i="2"/>
  <c r="P235" i="2" s="1"/>
  <c r="N257" i="2"/>
  <c r="P257" i="2" s="1"/>
  <c r="L257" i="2"/>
  <c r="N122" i="2"/>
  <c r="P122" i="2" s="1"/>
  <c r="L128" i="2"/>
  <c r="P128" i="2"/>
  <c r="N75" i="2"/>
  <c r="P75" i="2" s="1"/>
  <c r="N86" i="2"/>
  <c r="P86" i="2" s="1"/>
  <c r="L108" i="2"/>
  <c r="P108" i="2"/>
  <c r="N123" i="2"/>
  <c r="P123" i="2" s="1"/>
  <c r="N134" i="2"/>
  <c r="P134" i="2" s="1"/>
  <c r="L156" i="2"/>
  <c r="P156" i="2"/>
  <c r="N27" i="2"/>
  <c r="P27" i="2" s="1"/>
  <c r="L27" i="2"/>
  <c r="N38" i="2"/>
  <c r="P38" i="2" s="1"/>
  <c r="L60" i="2"/>
  <c r="P60" i="2"/>
  <c r="N171" i="2"/>
  <c r="P171" i="2" s="1"/>
  <c r="L171" i="2"/>
  <c r="N182" i="2"/>
  <c r="P182" i="2" s="1"/>
  <c r="N204" i="2"/>
  <c r="P204" i="2" s="1"/>
  <c r="N219" i="2"/>
  <c r="P219" i="2" s="1"/>
  <c r="N230" i="2"/>
  <c r="P230" i="2" s="1"/>
  <c r="N252" i="2"/>
  <c r="P252" i="2" s="1"/>
  <c r="J6" i="1"/>
  <c r="B24" i="13" s="1"/>
  <c r="N133" i="2"/>
  <c r="P133" i="2" s="1"/>
  <c r="N102" i="2"/>
  <c r="P102" i="2" s="1"/>
  <c r="N82" i="2"/>
  <c r="P82" i="2" s="1"/>
  <c r="L97" i="2"/>
  <c r="N97" i="2"/>
  <c r="P97" i="2" s="1"/>
  <c r="N130" i="2"/>
  <c r="P130" i="2" s="1"/>
  <c r="L130" i="2"/>
  <c r="N145" i="2"/>
  <c r="P145" i="2" s="1"/>
  <c r="L145" i="2"/>
  <c r="N34" i="2"/>
  <c r="P34" i="2" s="1"/>
  <c r="N49" i="2"/>
  <c r="P49" i="2" s="1"/>
  <c r="N178" i="2"/>
  <c r="P178" i="2" s="1"/>
  <c r="N193" i="2"/>
  <c r="P193" i="2" s="1"/>
  <c r="N226" i="2"/>
  <c r="P226" i="2" s="1"/>
  <c r="N241" i="2"/>
  <c r="P241" i="2" s="1"/>
  <c r="N81" i="2"/>
  <c r="P81" i="2" s="1"/>
  <c r="L81" i="2"/>
  <c r="N92" i="2"/>
  <c r="P92" i="2" s="1"/>
  <c r="N114" i="2"/>
  <c r="P114" i="2" s="1"/>
  <c r="L129" i="2"/>
  <c r="P129" i="2"/>
  <c r="L140" i="2"/>
  <c r="P140" i="2"/>
  <c r="N162" i="2"/>
  <c r="P162" i="2" s="1"/>
  <c r="L33" i="2"/>
  <c r="P33" i="2"/>
  <c r="L44" i="2"/>
  <c r="P44" i="2"/>
  <c r="N66" i="2"/>
  <c r="P66" i="2" s="1"/>
  <c r="N177" i="2"/>
  <c r="P177" i="2" s="1"/>
  <c r="L188" i="2"/>
  <c r="P188" i="2"/>
  <c r="N210" i="2"/>
  <c r="P210" i="2" s="1"/>
  <c r="L210" i="2"/>
  <c r="N225" i="2"/>
  <c r="P225" i="2" s="1"/>
  <c r="L236" i="2"/>
  <c r="P236" i="2"/>
  <c r="N258" i="2"/>
  <c r="P258" i="2" s="1"/>
  <c r="L258" i="2"/>
  <c r="L144" i="2"/>
  <c r="P144" i="2"/>
  <c r="N77" i="2"/>
  <c r="P77" i="2" s="1"/>
  <c r="N88" i="2"/>
  <c r="P88" i="2" s="1"/>
  <c r="N103" i="2"/>
  <c r="P103" i="2" s="1"/>
  <c r="N125" i="2"/>
  <c r="P125" i="2" s="1"/>
  <c r="N136" i="2"/>
  <c r="P136" i="2" s="1"/>
  <c r="L151" i="2"/>
  <c r="P151" i="2"/>
  <c r="N29" i="2"/>
  <c r="P29" i="2" s="1"/>
  <c r="N40" i="2"/>
  <c r="P40" i="2" s="1"/>
  <c r="L55" i="2"/>
  <c r="P55" i="2"/>
  <c r="N173" i="2"/>
  <c r="P173" i="2" s="1"/>
  <c r="L173" i="2"/>
  <c r="N184" i="2"/>
  <c r="P184" i="2" s="1"/>
  <c r="L199" i="2"/>
  <c r="P199" i="2"/>
  <c r="N221" i="2"/>
  <c r="P221" i="2" s="1"/>
  <c r="L232" i="2"/>
  <c r="N232" i="2"/>
  <c r="P232" i="2" s="1"/>
  <c r="N247" i="2"/>
  <c r="P247" i="2" s="1"/>
  <c r="L107" i="2"/>
  <c r="P107" i="2"/>
  <c r="N98" i="2"/>
  <c r="P98" i="2" s="1"/>
  <c r="N39" i="2"/>
  <c r="P39" i="2" s="1"/>
  <c r="N50" i="2"/>
  <c r="P50" i="2" s="1"/>
  <c r="N183" i="2"/>
  <c r="P183" i="2" s="1"/>
  <c r="N194" i="2"/>
  <c r="P194" i="2" s="1"/>
  <c r="N231" i="2"/>
  <c r="P231" i="2" s="1"/>
  <c r="N242" i="2"/>
  <c r="P242" i="2" s="1"/>
  <c r="L74" i="2"/>
  <c r="N74" i="2"/>
  <c r="P74" i="2" s="1"/>
  <c r="N83" i="2"/>
  <c r="P83" i="2" s="1"/>
  <c r="N94" i="2"/>
  <c r="P94" i="2" s="1"/>
  <c r="N109" i="2"/>
  <c r="P109" i="2" s="1"/>
  <c r="L131" i="2"/>
  <c r="P131" i="2"/>
  <c r="N142" i="2"/>
  <c r="P142" i="2" s="1"/>
  <c r="N157" i="2"/>
  <c r="P157" i="2" s="1"/>
  <c r="L35" i="2"/>
  <c r="P35" i="2"/>
  <c r="N46" i="2"/>
  <c r="P46" i="2" s="1"/>
  <c r="N61" i="2"/>
  <c r="P61" i="2" s="1"/>
  <c r="L61" i="2"/>
  <c r="N179" i="2"/>
  <c r="P179" i="2" s="1"/>
  <c r="N190" i="2"/>
  <c r="P190" i="2" s="1"/>
  <c r="L190" i="2"/>
  <c r="N205" i="2"/>
  <c r="P205" i="2" s="1"/>
  <c r="L227" i="2"/>
  <c r="P227" i="2"/>
  <c r="N238" i="2"/>
  <c r="P238" i="2" s="1"/>
  <c r="N253" i="2"/>
  <c r="P253" i="2" s="1"/>
  <c r="L253" i="2"/>
  <c r="N96" i="2"/>
  <c r="P96" i="2" s="1"/>
  <c r="N78" i="2"/>
  <c r="P78" i="2" s="1"/>
  <c r="N93" i="2"/>
  <c r="P93" i="2" s="1"/>
  <c r="L104" i="2"/>
  <c r="P104" i="2"/>
  <c r="N126" i="2"/>
  <c r="P126" i="2" s="1"/>
  <c r="L126" i="2"/>
  <c r="L141" i="2"/>
  <c r="P141" i="2"/>
  <c r="L152" i="2"/>
  <c r="P152" i="2"/>
  <c r="N30" i="2"/>
  <c r="P30" i="2" s="1"/>
  <c r="L45" i="2"/>
  <c r="P45" i="2"/>
  <c r="L56" i="2"/>
  <c r="P56" i="2"/>
  <c r="N174" i="2"/>
  <c r="P174" i="2" s="1"/>
  <c r="L174" i="2"/>
  <c r="N189" i="2"/>
  <c r="P189" i="2" s="1"/>
  <c r="L200" i="2"/>
  <c r="P200" i="2"/>
  <c r="N222" i="2"/>
  <c r="P222" i="2" s="1"/>
  <c r="N237" i="2"/>
  <c r="P237" i="2" s="1"/>
  <c r="L248" i="2"/>
  <c r="P248" i="2"/>
  <c r="N80" i="2"/>
  <c r="P80" i="2" s="1"/>
  <c r="N146" i="2"/>
  <c r="P146" i="2" s="1"/>
  <c r="N89" i="2"/>
  <c r="P89" i="2" s="1"/>
  <c r="N100" i="2"/>
  <c r="P100" i="2" s="1"/>
  <c r="N137" i="2"/>
  <c r="P137" i="2" s="1"/>
  <c r="N148" i="2"/>
  <c r="P148" i="2" s="1"/>
  <c r="N41" i="2"/>
  <c r="P41" i="2" s="1"/>
  <c r="N52" i="2"/>
  <c r="P52" i="2" s="1"/>
  <c r="N185" i="2"/>
  <c r="P185" i="2" s="1"/>
  <c r="N196" i="2"/>
  <c r="P196" i="2" s="1"/>
  <c r="N233" i="2"/>
  <c r="P233" i="2" s="1"/>
  <c r="N244" i="2"/>
  <c r="P244" i="2" s="1"/>
  <c r="N84" i="2"/>
  <c r="P84" i="2" s="1"/>
  <c r="N99" i="2"/>
  <c r="P99" i="2" s="1"/>
  <c r="N110" i="2"/>
  <c r="P110" i="2" s="1"/>
  <c r="L132" i="2"/>
  <c r="P132" i="2"/>
  <c r="N147" i="2"/>
  <c r="P147" i="2" s="1"/>
  <c r="N158" i="2"/>
  <c r="P158" i="2" s="1"/>
  <c r="L36" i="2"/>
  <c r="P36" i="2"/>
  <c r="N51" i="2"/>
  <c r="P51" i="2" s="1"/>
  <c r="N62" i="2"/>
  <c r="P62" i="2" s="1"/>
  <c r="L62" i="2"/>
  <c r="N180" i="2"/>
  <c r="P180" i="2" s="1"/>
  <c r="N195" i="2"/>
  <c r="P195" i="2" s="1"/>
  <c r="N206" i="2"/>
  <c r="P206" i="2" s="1"/>
  <c r="L206" i="2"/>
  <c r="N228" i="2"/>
  <c r="P228" i="2" s="1"/>
  <c r="N243" i="2"/>
  <c r="P243" i="2" s="1"/>
  <c r="N254" i="2"/>
  <c r="P254" i="2" s="1"/>
  <c r="N85" i="2"/>
  <c r="P85" i="2" s="1"/>
  <c r="N73" i="2"/>
  <c r="P73" i="2" s="1"/>
  <c r="N95" i="2"/>
  <c r="P95" i="2" s="1"/>
  <c r="L106" i="2"/>
  <c r="P106" i="2"/>
  <c r="N121" i="2"/>
  <c r="P121" i="2" s="1"/>
  <c r="L121" i="2"/>
  <c r="L143" i="2"/>
  <c r="P143" i="2"/>
  <c r="L154" i="2"/>
  <c r="P154" i="2"/>
  <c r="N25" i="2"/>
  <c r="P25" i="2" s="1"/>
  <c r="L47" i="2"/>
  <c r="P47" i="2"/>
  <c r="L58" i="2"/>
  <c r="P58" i="2"/>
  <c r="N169" i="2"/>
  <c r="P169" i="2" s="1"/>
  <c r="N191" i="2"/>
  <c r="P191" i="2" s="1"/>
  <c r="N202" i="2"/>
  <c r="P202" i="2" s="1"/>
  <c r="N217" i="2"/>
  <c r="P217" i="2" s="1"/>
  <c r="L239" i="2"/>
  <c r="P239" i="2"/>
  <c r="N250" i="2"/>
  <c r="P250" i="2" s="1"/>
  <c r="N87" i="2"/>
  <c r="P87" i="2" s="1"/>
  <c r="L87" i="2"/>
  <c r="N135" i="2"/>
  <c r="P135" i="2" s="1"/>
  <c r="N90" i="2"/>
  <c r="P90" i="2" s="1"/>
  <c r="L105" i="2"/>
  <c r="P105" i="2"/>
  <c r="N138" i="2"/>
  <c r="P138" i="2" s="1"/>
  <c r="L153" i="2"/>
  <c r="P153" i="2"/>
  <c r="N42" i="2"/>
  <c r="P42" i="2" s="1"/>
  <c r="L57" i="2"/>
  <c r="P57" i="2"/>
  <c r="N186" i="2"/>
  <c r="P186" i="2" s="1"/>
  <c r="N201" i="2"/>
  <c r="P201" i="2" s="1"/>
  <c r="L201" i="2"/>
  <c r="N234" i="2"/>
  <c r="P234" i="2" s="1"/>
  <c r="N249" i="2"/>
  <c r="P249" i="2" s="1"/>
  <c r="L155" i="2"/>
  <c r="P155" i="2"/>
  <c r="N150" i="2"/>
  <c r="P150" i="2" s="1"/>
  <c r="N79" i="2"/>
  <c r="P79" i="2" s="1"/>
  <c r="N101" i="2"/>
  <c r="P101" i="2" s="1"/>
  <c r="N112" i="2"/>
  <c r="P112" i="2" s="1"/>
  <c r="N127" i="2"/>
  <c r="P127" i="2" s="1"/>
  <c r="N149" i="2"/>
  <c r="P149" i="2" s="1"/>
  <c r="N160" i="2"/>
  <c r="P160" i="2" s="1"/>
  <c r="L31" i="2"/>
  <c r="P31" i="2"/>
  <c r="N53" i="2"/>
  <c r="P53" i="2" s="1"/>
  <c r="N64" i="2"/>
  <c r="P64" i="2" s="1"/>
  <c r="L175" i="2"/>
  <c r="P175" i="2"/>
  <c r="N197" i="2"/>
  <c r="P197" i="2" s="1"/>
  <c r="N208" i="2"/>
  <c r="P208" i="2" s="1"/>
  <c r="N223" i="2"/>
  <c r="P223" i="2" s="1"/>
  <c r="N245" i="2"/>
  <c r="P245" i="2" s="1"/>
  <c r="N256" i="2"/>
  <c r="P256" i="2" s="1"/>
  <c r="L256" i="2"/>
  <c r="B28" i="13"/>
  <c r="G28" i="13" s="1"/>
  <c r="E28" i="13"/>
  <c r="E30" i="13"/>
  <c r="B30" i="13"/>
  <c r="G30" i="13" s="1"/>
  <c r="B31" i="13"/>
  <c r="G31" i="13" s="1"/>
  <c r="E31" i="13"/>
  <c r="E32" i="13"/>
  <c r="B32" i="13"/>
  <c r="G32" i="13" s="1"/>
  <c r="B33" i="13"/>
  <c r="G33" i="13" s="1"/>
  <c r="E33" i="13"/>
  <c r="B29" i="13"/>
  <c r="G29" i="13" s="1"/>
  <c r="E29" i="13"/>
  <c r="B25" i="13"/>
  <c r="G25" i="13" s="1"/>
  <c r="E25" i="13"/>
  <c r="B26" i="13"/>
  <c r="G26" i="13" s="1"/>
  <c r="E26" i="13"/>
  <c r="B27" i="13"/>
  <c r="G27" i="13" s="1"/>
  <c r="E27" i="13"/>
  <c r="D269" i="2"/>
  <c r="J4" i="1"/>
  <c r="K4" i="1"/>
  <c r="C22" i="13" s="1"/>
  <c r="J5" i="1"/>
  <c r="K5" i="1"/>
  <c r="C23" i="13" s="1"/>
  <c r="Q18" i="4"/>
  <c r="L18" i="4"/>
  <c r="B18" i="4"/>
  <c r="Q17" i="4"/>
  <c r="L17" i="4"/>
  <c r="B17" i="4"/>
  <c r="Q16" i="4"/>
  <c r="L16" i="4"/>
  <c r="B16" i="4"/>
  <c r="Q15" i="4"/>
  <c r="L15" i="4"/>
  <c r="B15" i="4"/>
  <c r="Q14" i="4"/>
  <c r="L14" i="4"/>
  <c r="B14" i="4"/>
  <c r="Q13" i="4"/>
  <c r="L13" i="4"/>
  <c r="B13" i="4"/>
  <c r="Q12" i="4"/>
  <c r="L12" i="4"/>
  <c r="B12" i="4"/>
  <c r="Q11" i="4"/>
  <c r="L11" i="4"/>
  <c r="B11" i="4"/>
  <c r="Q10" i="4"/>
  <c r="L10" i="4"/>
  <c r="B10" i="4"/>
  <c r="Q9" i="4"/>
  <c r="L9" i="4"/>
  <c r="B9" i="4"/>
  <c r="Q8" i="4"/>
  <c r="L8" i="4"/>
  <c r="B8" i="4"/>
  <c r="Q7" i="4"/>
  <c r="L7" i="4"/>
  <c r="B7" i="4"/>
  <c r="F5" i="4"/>
  <c r="L15" i="1"/>
  <c r="D33" i="13" s="1"/>
  <c r="L14" i="1"/>
  <c r="D32" i="13" s="1"/>
  <c r="L13" i="1"/>
  <c r="D31" i="13" s="1"/>
  <c r="L12" i="1"/>
  <c r="D30" i="13" s="1"/>
  <c r="L11" i="1"/>
  <c r="D29" i="13" s="1"/>
  <c r="L10" i="1"/>
  <c r="D28" i="13" s="1"/>
  <c r="L9" i="1"/>
  <c r="D27" i="13" s="1"/>
  <c r="L8" i="1"/>
  <c r="D26" i="13" s="1"/>
  <c r="L7" i="1"/>
  <c r="D25" i="13" s="1"/>
  <c r="L6" i="1"/>
  <c r="L5" i="1"/>
  <c r="D23" i="13" s="1"/>
  <c r="L4" i="1"/>
  <c r="D22" i="13" s="1"/>
  <c r="A18" i="4"/>
  <c r="A17" i="4"/>
  <c r="A16" i="4"/>
  <c r="A15" i="4"/>
  <c r="A14" i="4"/>
  <c r="A13" i="4"/>
  <c r="A12" i="4"/>
  <c r="A11" i="4"/>
  <c r="A10" i="4"/>
  <c r="A9" i="4"/>
  <c r="A8" i="4"/>
  <c r="A7" i="4"/>
  <c r="A6" i="4"/>
  <c r="A5" i="4"/>
  <c r="A4" i="4"/>
  <c r="A2" i="4"/>
  <c r="L197" i="2" l="1"/>
  <c r="L244" i="2"/>
  <c r="L242" i="2"/>
  <c r="L54" i="2"/>
  <c r="L90" i="2"/>
  <c r="L39" i="2"/>
  <c r="L202" i="2"/>
  <c r="L158" i="2"/>
  <c r="L114" i="2"/>
  <c r="L203" i="2"/>
  <c r="L147" i="2"/>
  <c r="L146" i="2"/>
  <c r="L30" i="2"/>
  <c r="L247" i="2"/>
  <c r="L37" i="2"/>
  <c r="L245" i="2"/>
  <c r="L205" i="2"/>
  <c r="L103" i="2"/>
  <c r="L226" i="2"/>
  <c r="L252" i="2"/>
  <c r="L64" i="2"/>
  <c r="L135" i="2"/>
  <c r="L66" i="2"/>
  <c r="L38" i="2"/>
  <c r="L122" i="2"/>
  <c r="L207" i="2"/>
  <c r="L110" i="2"/>
  <c r="L96" i="2"/>
  <c r="L46" i="2"/>
  <c r="L102" i="2"/>
  <c r="L53" i="2"/>
  <c r="L194" i="2"/>
  <c r="L250" i="2"/>
  <c r="L84" i="2"/>
  <c r="L133" i="2"/>
  <c r="L91" i="2"/>
  <c r="L80" i="2"/>
  <c r="L238" i="2"/>
  <c r="L178" i="2"/>
  <c r="L42" i="2"/>
  <c r="L142" i="2"/>
  <c r="L134" i="2"/>
  <c r="L181" i="2"/>
  <c r="L127" i="2"/>
  <c r="L233" i="2"/>
  <c r="L29" i="2"/>
  <c r="L34" i="2"/>
  <c r="L26" i="2"/>
  <c r="L95" i="2"/>
  <c r="L185" i="2"/>
  <c r="L189" i="2"/>
  <c r="L179" i="2"/>
  <c r="L136" i="2"/>
  <c r="L92" i="2"/>
  <c r="L75" i="2"/>
  <c r="L254" i="2"/>
  <c r="L177" i="2"/>
  <c r="L65" i="2"/>
  <c r="L76" i="2"/>
  <c r="L73" i="2"/>
  <c r="L137" i="2"/>
  <c r="L183" i="2"/>
  <c r="L125" i="2"/>
  <c r="L49" i="2"/>
  <c r="L246" i="2"/>
  <c r="L112" i="2"/>
  <c r="L186" i="2"/>
  <c r="L85" i="2"/>
  <c r="L51" i="2"/>
  <c r="L100" i="2"/>
  <c r="L109" i="2"/>
  <c r="L50" i="2"/>
  <c r="L184" i="2"/>
  <c r="L230" i="2"/>
  <c r="L28" i="2"/>
  <c r="L101" i="2"/>
  <c r="L25" i="2"/>
  <c r="L89" i="2"/>
  <c r="L93" i="2"/>
  <c r="L94" i="2"/>
  <c r="L88" i="2"/>
  <c r="L219" i="2"/>
  <c r="L235" i="2"/>
  <c r="L161" i="2"/>
  <c r="L198" i="2"/>
  <c r="L63" i="2"/>
  <c r="L79" i="2"/>
  <c r="L243" i="2"/>
  <c r="L196" i="2"/>
  <c r="L78" i="2"/>
  <c r="L83" i="2"/>
  <c r="L98" i="2"/>
  <c r="L77" i="2"/>
  <c r="L150" i="2"/>
  <c r="L217" i="2"/>
  <c r="L228" i="2"/>
  <c r="L40" i="2"/>
  <c r="L241" i="2"/>
  <c r="L204" i="2"/>
  <c r="L123" i="2"/>
  <c r="L139" i="2"/>
  <c r="L182" i="2"/>
  <c r="L209" i="2"/>
  <c r="L124" i="2"/>
  <c r="L255" i="2"/>
  <c r="L138" i="2"/>
  <c r="L52" i="2"/>
  <c r="L82" i="2"/>
  <c r="E24" i="13"/>
  <c r="L160" i="2"/>
  <c r="L249" i="2"/>
  <c r="L191" i="2"/>
  <c r="L195" i="2"/>
  <c r="L41" i="2"/>
  <c r="L237" i="2"/>
  <c r="L157" i="2"/>
  <c r="L231" i="2"/>
  <c r="L162" i="2"/>
  <c r="L193" i="2"/>
  <c r="L86" i="2"/>
  <c r="L240" i="2"/>
  <c r="L172" i="2"/>
  <c r="L218" i="2"/>
  <c r="L111" i="2"/>
  <c r="L208" i="2"/>
  <c r="L223" i="2"/>
  <c r="L149" i="2"/>
  <c r="L234" i="2"/>
  <c r="L169" i="2"/>
  <c r="L180" i="2"/>
  <c r="L99" i="2"/>
  <c r="L148" i="2"/>
  <c r="L222" i="2"/>
  <c r="L221" i="2"/>
  <c r="L225" i="2"/>
  <c r="H29" i="13"/>
  <c r="V11" i="4"/>
  <c r="H25" i="13"/>
  <c r="V7" i="4"/>
  <c r="H31" i="13"/>
  <c r="V13" i="4"/>
  <c r="H33" i="13"/>
  <c r="V15" i="4"/>
  <c r="H30" i="13"/>
  <c r="V12" i="4"/>
  <c r="H27" i="13"/>
  <c r="V9" i="4"/>
  <c r="H32" i="13"/>
  <c r="V14" i="4"/>
  <c r="H26" i="13"/>
  <c r="V8" i="4"/>
  <c r="H28" i="13"/>
  <c r="V10" i="4"/>
  <c r="B23" i="13"/>
  <c r="E23" i="13"/>
  <c r="D24" i="13"/>
  <c r="B22" i="13"/>
  <c r="E22" i="13"/>
  <c r="B6" i="4"/>
  <c r="C6" i="4" s="1"/>
  <c r="B5" i="4"/>
  <c r="G24" i="13" l="1"/>
  <c r="H24" i="13" s="1"/>
  <c r="G22" i="13"/>
  <c r="G23" i="13"/>
  <c r="O6" i="4"/>
  <c r="L6" i="4"/>
  <c r="C5" i="4"/>
  <c r="O5" i="4" s="1"/>
  <c r="B4" i="4"/>
  <c r="C4" i="4" s="1"/>
  <c r="V6" i="4" l="1"/>
  <c r="X6" i="4" s="1"/>
  <c r="Y6" i="4" s="1"/>
  <c r="L5" i="4"/>
  <c r="H22" i="13"/>
  <c r="V4" i="4"/>
  <c r="H23" i="13"/>
  <c r="V5" i="4"/>
  <c r="AA6" i="4"/>
  <c r="P6" i="4"/>
  <c r="Q6" i="4" s="1"/>
  <c r="Z6" i="4"/>
  <c r="AA5" i="4"/>
  <c r="Z5" i="4"/>
  <c r="P5" i="4"/>
  <c r="Q5" i="4" s="1"/>
  <c r="H277" i="2" l="1"/>
  <c r="H278" i="2"/>
  <c r="G6" i="4"/>
  <c r="D6" i="4"/>
  <c r="K6" i="4" s="1"/>
  <c r="J6" i="4" s="1"/>
  <c r="S6" i="4"/>
  <c r="S5" i="4"/>
  <c r="D5" i="4"/>
  <c r="K5" i="4" s="1"/>
  <c r="J5" i="4" s="1"/>
  <c r="G5" i="4"/>
  <c r="X4" i="4"/>
  <c r="X5" i="4"/>
  <c r="Y4" i="4" l="1"/>
  <c r="Y5" i="4"/>
  <c r="L4" i="4"/>
  <c r="T5" i="4" l="1"/>
  <c r="T6" i="4"/>
  <c r="M4" i="4"/>
  <c r="N4" i="4"/>
  <c r="O4" i="4"/>
  <c r="P4" i="4" s="1"/>
  <c r="Q4" i="4" s="1"/>
  <c r="D55" i="4" s="1"/>
  <c r="AA4" i="4" l="1"/>
  <c r="D43" i="4" s="1"/>
  <c r="Z4" i="4"/>
  <c r="B39" i="4"/>
  <c r="H276" i="2" l="1"/>
  <c r="D60" i="4" s="1"/>
  <c r="V39" i="4"/>
  <c r="D63" i="4" s="1"/>
  <c r="S4" i="4"/>
  <c r="M39" i="4"/>
  <c r="E39" i="4"/>
  <c r="D4" i="4"/>
  <c r="I39" i="4"/>
  <c r="H39" i="4"/>
  <c r="G4" i="4"/>
  <c r="G39" i="4" s="1"/>
  <c r="G40" i="4" s="1"/>
  <c r="Y39" i="4"/>
  <c r="D44" i="4"/>
  <c r="W39" i="4"/>
  <c r="D64" i="4" s="1"/>
  <c r="X39" i="4"/>
  <c r="D65" i="4" s="1"/>
  <c r="D59" i="4"/>
  <c r="D42" i="4"/>
  <c r="D56" i="4" s="1"/>
  <c r="F39" i="4" l="1"/>
  <c r="D39" i="4"/>
  <c r="D40" i="4" s="1"/>
  <c r="K4" i="4"/>
  <c r="N39" i="4"/>
  <c r="C39" i="4"/>
  <c r="L39" i="4" l="1"/>
  <c r="D52" i="4" s="1"/>
  <c r="O39" i="4"/>
  <c r="D51" i="4" s="1"/>
  <c r="J4" i="4"/>
  <c r="T4" i="4"/>
  <c r="T39" i="4" s="1"/>
  <c r="K39" i="4"/>
  <c r="J39" i="4" l="1"/>
  <c r="D47" i="4" s="1"/>
  <c r="K40" i="4"/>
  <c r="D4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Marten Witkamp</author>
    <author>tc={63E84D35-4FDC-46A3-B917-D1579D80B254}</author>
  </authors>
  <commentList>
    <comment ref="D46" authorId="0" shapeId="0" xr:uid="{04FF38CC-8B44-4364-A431-4D6ECCE05186}">
      <text>
        <r>
          <rPr>
            <b/>
            <sz val="9"/>
            <color indexed="81"/>
            <rFont val="Tahoma"/>
            <family val="2"/>
          </rPr>
          <t>Marten Witkamp:</t>
        </r>
        <r>
          <rPr>
            <sz val="9"/>
            <color indexed="81"/>
            <rFont val="Tahoma"/>
            <family val="2"/>
          </rPr>
          <t xml:space="preserve">
bron: LBP Sight</t>
        </r>
      </text>
    </comment>
    <comment ref="E46" authorId="0" shapeId="0" xr:uid="{EEF221E3-45CD-4999-AB84-248C8F8BD022}">
      <text>
        <r>
          <rPr>
            <b/>
            <sz val="9"/>
            <color indexed="81"/>
            <rFont val="Tahoma"/>
            <family val="2"/>
          </rPr>
          <t>Marten Witkamp:</t>
        </r>
        <r>
          <rPr>
            <sz val="9"/>
            <color indexed="81"/>
            <rFont val="Tahoma"/>
            <family val="2"/>
          </rPr>
          <t xml:space="preserve">
bron: https://www.joostdevree.nl/bouwkunde2/jpga/aerogel_11_airofill_innovative_wall_insulation_www_airofill_nl.pdf</t>
        </r>
      </text>
    </comment>
    <comment ref="F46" authorId="0" shapeId="0" xr:uid="{516FE7D1-6208-4D40-8715-C9D788BFB96E}">
      <text>
        <r>
          <rPr>
            <b/>
            <sz val="9"/>
            <color indexed="81"/>
            <rFont val="Tahoma"/>
            <family val="2"/>
          </rPr>
          <t>Marten Witkamp:</t>
        </r>
        <r>
          <rPr>
            <sz val="9"/>
            <color indexed="81"/>
            <rFont val="Tahoma"/>
            <family val="2"/>
          </rPr>
          <t xml:space="preserve">
bron: https://www.joostdevree.nl/bouwkunde2/jpga/aerogel_11_airofill_innovative_wall_insulation_www_airofill_nl.pdf</t>
        </r>
      </text>
    </comment>
    <comment ref="B104" authorId="1" shapeId="0" xr:uid="{63E84D35-4FDC-46A3-B917-D1579D80B254}">
      <text>
        <t>[Threaded comment]
Your version of Excel allows you to read this threaded comment; however, any edits to it will get removed if the file is opened in a newer version of Excel. Learn more: https://go.microsoft.com/fwlink/?linkid=870924
Comment:
    Maal 2 ivm 15 jaar levensduur</t>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<sst xmlns="http://schemas.openxmlformats.org/spreadsheetml/2006/main" count="1807" uniqueCount="403">
  <si>
    <t>SITUATIE VOOR RENOVATIE</t>
  </si>
  <si>
    <t>OPSCHALINGSPOTENTIE</t>
  </si>
  <si>
    <t>Segment</t>
  </si>
  <si>
    <t>Woningtype</t>
  </si>
  <si>
    <t>Bouwjaarklasse</t>
  </si>
  <si>
    <t>Oppervlakteklasse</t>
  </si>
  <si>
    <t>Aantal woningen</t>
  </si>
  <si>
    <t>Waarvan koopwoningen</t>
  </si>
  <si>
    <t>Gasgebruik</t>
  </si>
  <si>
    <t>Elektragebruik</t>
  </si>
  <si>
    <t>Opwek elektra</t>
  </si>
  <si>
    <t>Levering warmtenet</t>
  </si>
  <si>
    <t>Niet betrokken woningen van hetzelfde type (segment) in eigendom van consortiumpartners</t>
  </si>
  <si>
    <t>m3/jaar</t>
  </si>
  <si>
    <t>kWh/jaar</t>
  </si>
  <si>
    <t>A</t>
  </si>
  <si>
    <t>Tussen of geschakelde woning</t>
  </si>
  <si>
    <t>1965 tot en met 1974</t>
  </si>
  <si>
    <t>50 m2 tot 75 m2</t>
  </si>
  <si>
    <t>B</t>
  </si>
  <si>
    <t>Hoekwoning</t>
  </si>
  <si>
    <t>1946 tot en met 1964</t>
  </si>
  <si>
    <t>100 m2 tot 150 m2</t>
  </si>
  <si>
    <t>C</t>
  </si>
  <si>
    <t>D</t>
  </si>
  <si>
    <t>E</t>
  </si>
  <si>
    <t>F</t>
  </si>
  <si>
    <t>G</t>
  </si>
  <si>
    <t>H</t>
  </si>
  <si>
    <t>I</t>
  </si>
  <si>
    <t>J</t>
  </si>
  <si>
    <t>K</t>
  </si>
  <si>
    <t>L</t>
  </si>
  <si>
    <t>M</t>
  </si>
  <si>
    <t>N</t>
  </si>
  <si>
    <t>O</t>
  </si>
  <si>
    <t>P</t>
  </si>
  <si>
    <t>BESPARING</t>
  </si>
  <si>
    <t>SUBSIDIE OP GEBRUIKSFASE</t>
  </si>
  <si>
    <t>Euro per woning</t>
  </si>
  <si>
    <t>Direct</t>
  </si>
  <si>
    <t>ton per woning per jaar</t>
  </si>
  <si>
    <t>% gedurende 30 jaar</t>
  </si>
  <si>
    <t>Totale besparing tijdens gebruik</t>
  </si>
  <si>
    <t>Maximale subsidie</t>
  </si>
  <si>
    <t>N.b. dit houdt geen rekening met het plafond van 40% van de subsidiabele kosten. Dat moet afzonderlijk worden nagegaan.</t>
  </si>
  <si>
    <t>Opschalingspotentie Direct</t>
  </si>
  <si>
    <t>aantallen woningen</t>
  </si>
  <si>
    <t>Energiemix 2023</t>
  </si>
  <si>
    <t>Aardgas</t>
  </si>
  <si>
    <t>kg CO2-eq / m3</t>
  </si>
  <si>
    <t>Elektra</t>
  </si>
  <si>
    <t>kg CO2-eq / kWh</t>
  </si>
  <si>
    <t>Warmte</t>
  </si>
  <si>
    <t>kg CO2-eq / GJ</t>
  </si>
  <si>
    <t>Keuzelijst</t>
  </si>
  <si>
    <t>Appartement</t>
  </si>
  <si>
    <t>1200 tot en met 1945</t>
  </si>
  <si>
    <t>2 m2 tot 50 m2</t>
  </si>
  <si>
    <t>2/1 Kapwoning</t>
  </si>
  <si>
    <t>75 m2 tot 100 m2</t>
  </si>
  <si>
    <t>1975 tot en met 1991</t>
  </si>
  <si>
    <t>Vrijstaande woning</t>
  </si>
  <si>
    <t>1992 tot en met 1999</t>
  </si>
  <si>
    <t>150 m2 tot 250 m2</t>
  </si>
  <si>
    <t>2000 tot en met 2005</t>
  </si>
  <si>
    <t>250 m2 tot 10.000m2</t>
  </si>
  <si>
    <t>2006 tot en met 2012</t>
  </si>
  <si>
    <t>vanaf 2013</t>
  </si>
  <si>
    <t>Bron: https://www.cbs.nl/nl-nl/maatwerk/2021/33/voorpublicatie-energielevering-aardgaswoningen-2020</t>
  </si>
  <si>
    <t>For lookup purposes</t>
  </si>
  <si>
    <t>aantal</t>
  </si>
  <si>
    <t>Totaal</t>
  </si>
  <si>
    <t>Gemiddeld (niet gewogen)</t>
  </si>
  <si>
    <t>Gemiddeld (gewogen)</t>
  </si>
  <si>
    <t>ton per segment gedurende 30 jaar</t>
  </si>
  <si>
    <t>Euro per segment</t>
  </si>
  <si>
    <t>Niet betrokken woningen van hetzelfde type (segment) in Nederland</t>
  </si>
  <si>
    <t>Bron: https://www.nen.nl/media/PDF/NTA_8800_2022_-_officieuze_versie.pdf</t>
  </si>
  <si>
    <t>NTA8800</t>
  </si>
  <si>
    <t>GJ/m3</t>
  </si>
  <si>
    <t>GJ/GJ</t>
  </si>
  <si>
    <t>GJ/kWh_e</t>
  </si>
  <si>
    <t>GJ gebruik</t>
  </si>
  <si>
    <t>GJ per segment gedurende 30 jaar</t>
  </si>
  <si>
    <t>Eigenaartype</t>
  </si>
  <si>
    <t>Woningcorporatie</t>
  </si>
  <si>
    <t>Andere verhuurder</t>
  </si>
  <si>
    <t>VVE</t>
  </si>
  <si>
    <t>Eigenaar-bewoner</t>
  </si>
  <si>
    <t>Gemengd bezit</t>
  </si>
  <si>
    <t>Nabijheid besluitvorming</t>
  </si>
  <si>
    <t>Eigenaar is onderdeel van consortium</t>
  </si>
  <si>
    <t>Eigenaar is geen onderdeel van consortium</t>
  </si>
  <si>
    <t>Deel van de eigenaren is onderdeel van consortium</t>
  </si>
  <si>
    <t>Waar staan de woningen?</t>
  </si>
  <si>
    <t>GJ gedurende 30 jaar</t>
  </si>
  <si>
    <t>Marktgemiddeld</t>
  </si>
  <si>
    <t>Standaard omvormer</t>
  </si>
  <si>
    <t>PV multikristallijn</t>
  </si>
  <si>
    <t>PV monokristallijn</t>
  </si>
  <si>
    <t>PV CI(G)S</t>
  </si>
  <si>
    <t>PV amorf</t>
  </si>
  <si>
    <t>marktaandeel</t>
  </si>
  <si>
    <t>rendement</t>
  </si>
  <si>
    <t>kg CO2 per m2 paneel/omvormer</t>
  </si>
  <si>
    <t>vermogen per m2 [Wp]</t>
  </si>
  <si>
    <t>kg CO2 per [kWp]</t>
  </si>
  <si>
    <t>Duurzame energie opwekker</t>
  </si>
  <si>
    <t>TNO: twintig veel gestelde vragen over zonneenergie</t>
  </si>
  <si>
    <t>Rapport categorie 3 data NMD cluster 5 PV panelen: A1-A3</t>
  </si>
  <si>
    <t>Bron: (https://www.gawalo.nl/6060/balansventilatie-opmars-dankzij-warmtepomp)</t>
  </si>
  <si>
    <t>Type D</t>
  </si>
  <si>
    <t>Type C</t>
  </si>
  <si>
    <t>Natuurlijk</t>
  </si>
  <si>
    <t>kg CO2/stuk (NMD)</t>
  </si>
  <si>
    <t>Marktaandeel bij nieuwbouw/renovatie</t>
  </si>
  <si>
    <t>kg CO2/stuk</t>
  </si>
  <si>
    <t>Ventilatie</t>
  </si>
  <si>
    <t>Niet gebruikt:
Bron: onderzoek W/E en Nieman binnen project Circulaire renovaties</t>
  </si>
  <si>
    <t>Gebruikt:
Bron NMD Rapport categorie 3 ventilatietype C&amp;D: A1-A3</t>
  </si>
  <si>
    <t>Bron: https://www.kozijnshop.nl/hout-het-natuurlijke-bouwmateriaal-op-planeet-aarde (uit https://opslagco2inhout.nl op basis van EN 16440)</t>
  </si>
  <si>
    <t>Bron: Bau-Zeitung 53, 1999, 5, pag. 60 v.v.</t>
  </si>
  <si>
    <t>Bron: https://www.webo.nl/wp-content/uploads/2016/10/56_Waaromhoutenkozijnenendeuren20091006.pdf</t>
  </si>
  <si>
    <t>Bron: https://www.aaglas.nl/alles-over-glas/de-u-waarde-bij-dubbelglas-en-isolatieglas</t>
  </si>
  <si>
    <t>Bron: https://www.lambda.be/nl/energietips/lambda-waarde-van-alle-materialen</t>
  </si>
  <si>
    <t>??</t>
  </si>
  <si>
    <t>Kunststof</t>
  </si>
  <si>
    <t>Hout</t>
  </si>
  <si>
    <t>kg CO2/m2 raam opp</t>
  </si>
  <si>
    <t>kg CO2/m2/Rd</t>
  </si>
  <si>
    <t xml:space="preserve">marktaandeel EU </t>
  </si>
  <si>
    <t>kg CO2/m3</t>
  </si>
  <si>
    <t>Rd</t>
  </si>
  <si>
    <t>labda</t>
  </si>
  <si>
    <t>Kozijn</t>
  </si>
  <si>
    <t>Bron: NMD</t>
  </si>
  <si>
    <t>Anders</t>
  </si>
  <si>
    <t>Vacuum</t>
  </si>
  <si>
    <t>Tripel</t>
  </si>
  <si>
    <t>HR++</t>
  </si>
  <si>
    <t>kg CO2/m2/Rd (=1/u)</t>
  </si>
  <si>
    <t>kg CO2/m2</t>
  </si>
  <si>
    <t>kg glas/m2</t>
  </si>
  <si>
    <t>kg CO2/kg glas</t>
  </si>
  <si>
    <t>U-waarde</t>
  </si>
  <si>
    <t>huidige afzet bestaande bouw, 1000 m2</t>
  </si>
  <si>
    <t>Glas</t>
  </si>
  <si>
    <t>Niet gebruikt
Bron: NMD</t>
  </si>
  <si>
    <t>Gebruikt</t>
  </si>
  <si>
    <t>IJzer</t>
  </si>
  <si>
    <t>Gewicht installaties</t>
  </si>
  <si>
    <t>R744</t>
  </si>
  <si>
    <t>R1234yf</t>
  </si>
  <si>
    <t>R1234ze</t>
  </si>
  <si>
    <t>R407c</t>
  </si>
  <si>
    <t>R290 (propaan)</t>
  </si>
  <si>
    <t>R134A</t>
  </si>
  <si>
    <t>R32</t>
  </si>
  <si>
    <t>R410A</t>
  </si>
  <si>
    <t>kg CO2/kg (i.e. GWP)</t>
  </si>
  <si>
    <t>Koudemiddel</t>
  </si>
  <si>
    <t>BIO-EPS</t>
  </si>
  <si>
    <t>EPS spouwparels</t>
  </si>
  <si>
    <t>EPS bodemparels</t>
  </si>
  <si>
    <t>Vlasisolatie</t>
  </si>
  <si>
    <t>Cellulose</t>
  </si>
  <si>
    <t>PUR/PIR platen</t>
  </si>
  <si>
    <t>PUR schuim</t>
  </si>
  <si>
    <t>Houtvezelplaat</t>
  </si>
  <si>
    <t>EPS</t>
  </si>
  <si>
    <t>Glaswol</t>
  </si>
  <si>
    <t>Isolatiemateriaal</t>
  </si>
  <si>
    <t>EPS platen</t>
  </si>
  <si>
    <t>Warmtepomp</t>
  </si>
  <si>
    <t>Hybride warmtepomp</t>
  </si>
  <si>
    <t>Gasketel</t>
  </si>
  <si>
    <t>Ventilatiesysteem</t>
  </si>
  <si>
    <t>Verwarmingsinstallatie</t>
  </si>
  <si>
    <t>Isolatieglas</t>
  </si>
  <si>
    <t>Vloer_of_Bodemisolatie</t>
  </si>
  <si>
    <t>Dakisolatie</t>
  </si>
  <si>
    <t>Gevelisolatie</t>
  </si>
  <si>
    <t>Referentieuitstoot</t>
  </si>
  <si>
    <t>Wp per woning</t>
  </si>
  <si>
    <t>Gewicht koudemiddel (hybride)warmtepomp, kg</t>
  </si>
  <si>
    <t>Totaal gewicht, kg</t>
  </si>
  <si>
    <t>Aantal per woning</t>
  </si>
  <si>
    <t>Rd-waarde (1/u-waarde)</t>
  </si>
  <si>
    <t>Oppervlakte (bij kozijn: raamopp), m2</t>
  </si>
  <si>
    <t>Type</t>
  </si>
  <si>
    <t>Bouwdeel</t>
  </si>
  <si>
    <t>Te gebruiken aanpak</t>
  </si>
  <si>
    <t>Gebruikt: 
Bron: onderzoek W/E en Nieman binnen project Circulaire renovaties</t>
  </si>
  <si>
    <t>Bouwdeelmaterialen</t>
  </si>
  <si>
    <t xml:space="preserve">samenvatting van de onderbouwde tabelletjes per categorie hieronder, t.b.v. makkelijk opzoeken. </t>
  </si>
  <si>
    <t>Referentie per categorie</t>
  </si>
  <si>
    <t>Vervanging na 15 jaar</t>
  </si>
  <si>
    <t>CO2-eq uitstoot door materialen</t>
  </si>
  <si>
    <t>referentie, ton per woning</t>
  </si>
  <si>
    <t>door aanpak, ton per woning</t>
  </si>
  <si>
    <t>ton per woning</t>
  </si>
  <si>
    <t>kg CO2/kg</t>
  </si>
  <si>
    <t>AANPAK 1</t>
  </si>
  <si>
    <t>kg CO2-eq uitstoot door materiaalkeuze</t>
  </si>
  <si>
    <t>kg CO2-eq uitstoot, referentieuitstoot</t>
  </si>
  <si>
    <t>kg CO2-eq uitstoot, reductie</t>
  </si>
  <si>
    <t>AANPAK 2</t>
  </si>
  <si>
    <t>AANPAK 3</t>
  </si>
  <si>
    <t>AANPAK 4</t>
  </si>
  <si>
    <t>AANPAK 5</t>
  </si>
  <si>
    <t>AANPAK 6</t>
  </si>
  <si>
    <t>AANPAK 7</t>
  </si>
  <si>
    <t>CO2-eq reductie in gebruik</t>
  </si>
  <si>
    <t>GJ reductie in gebruik</t>
  </si>
  <si>
    <t>-1.7 g CO2/kg hout (EPA, 2010)</t>
  </si>
  <si>
    <t>bron EPA, 2010</t>
  </si>
  <si>
    <t>kg/m2 raam opp</t>
  </si>
  <si>
    <t>biogene opslag</t>
  </si>
  <si>
    <t>Wcb</t>
  </si>
  <si>
    <t>Bron: onderzoek W/E en Nieman binnen project Circulaire renovaties</t>
  </si>
  <si>
    <t>Aluminium VMRG keurmerk</t>
  </si>
  <si>
    <t>Bron: https://circulairebouweconomie.nl/wp-content/uploads/2023/01/Onderzoeksrapport-Koolstofvastlegging-biobased-materialen.pdf icm SBR data levensduur hardhouten kozijn</t>
  </si>
  <si>
    <t>https://www.isolatie.net/kozijnen-isolatiewaarde/</t>
  </si>
  <si>
    <t>Folie/thermokussens</t>
  </si>
  <si>
    <t>Marktaandeel: https://www.rvo.nl/sites/default/files/2022-12/Marktinformatie-Isolatiematerialen-en-HR%20ketels-2010-2021_0.pdf</t>
  </si>
  <si>
    <t>miljoen m2</t>
  </si>
  <si>
    <t>Bron: onderzoek W/E en Nieman binnen project Circulaire renovaties (hout en kozijn)+correctie biogene opslag hout; VMRG (aluminium) https://vmrg.nl/application/files/5716/1529/3655/EPD_VMRG_Buitenkozijn_2x_vast_en_draaiend_002.pdf</t>
  </si>
  <si>
    <t>kg/M2/Rd</t>
  </si>
  <si>
    <t>Gebruikt
Bron: onderzoek W/E en Nieman binnen project Circulaire renovaties</t>
  </si>
  <si>
    <t>marktgemiddeld</t>
  </si>
  <si>
    <t>kg CO2/m2/Rd incl biogene opslag</t>
  </si>
  <si>
    <t>Hoe werkt het rekenmodel?</t>
  </si>
  <si>
    <t>Tabblad "invoer_woningen"</t>
  </si>
  <si>
    <t>Tabblad "invoer_aanpakken"</t>
  </si>
  <si>
    <t>Tabblad "resultaat"</t>
  </si>
  <si>
    <t>kiezen uit de lijst</t>
  </si>
  <si>
    <t>Totaal aantal woningen</t>
  </si>
  <si>
    <t>aantal per segment</t>
  </si>
  <si>
    <t>postcode 6, gescheiden door komma</t>
  </si>
  <si>
    <t>Algemeen</t>
  </si>
  <si>
    <t>Verwarmingsinstallatie referentie</t>
  </si>
  <si>
    <t>Woning van 110 m2, compactheid van 1.5</t>
  </si>
  <si>
    <t>Gemiddeld materiaalgebonden uitstoot per kW (kg CO/kW)</t>
  </si>
  <si>
    <t>Aantal keer dat installatie moet worden geplaatst in 30 jaar</t>
  </si>
  <si>
    <t>Vast referentiegetal en dus niet meer afhankelijk van te installeren vermogen warmteopwekker.  Het probleem dat deze schatting oplost is dat anders een gasketel (met typische vermogens van rond de 20 kW) oneerlijk goed uit deze rekensom komt. Een grote warmtepomp komt nu slechter uit de rekensom dan een kleinere warmtepomp, en dat is precies de bedoeling.</t>
  </si>
  <si>
    <t>AANPAK 8</t>
  </si>
  <si>
    <t>AANPAK 9</t>
  </si>
  <si>
    <t>AANPAK 10</t>
  </si>
  <si>
    <t>Bron van keuzelijst: CBS</t>
  </si>
  <si>
    <t>Bron: CBS</t>
  </si>
  <si>
    <t>m3/jaar, gemiddeld</t>
  </si>
  <si>
    <t>kWh/jaar, gemiddeld</t>
  </si>
  <si>
    <t>GJ/jaar, gemiddeld</t>
  </si>
  <si>
    <t>Geschat benodigd vermogen warmteopwekker bij een woning die is gerenoveerd naar de Standaard (naoorlogs) (kW)</t>
  </si>
  <si>
    <t>ton per segment</t>
  </si>
  <si>
    <t>Waarvan in eigendom van consortiumpartner</t>
  </si>
  <si>
    <t>Aan te vragen subsidie</t>
  </si>
  <si>
    <t>Energiebesparing</t>
  </si>
  <si>
    <t>CO2-besparing</t>
  </si>
  <si>
    <t>Opschalingspotentie</t>
  </si>
  <si>
    <t>CO2-eq reductie totaal</t>
  </si>
  <si>
    <t>Cel hiernaast mag niet rood zijn (alleen segmenten waar tenminste 50% bespaard wordt, worden meegeteld)</t>
  </si>
  <si>
    <t>TOTALEN</t>
  </si>
  <si>
    <t xml:space="preserve">CO2-reductie Rekenmodel </t>
  </si>
  <si>
    <t xml:space="preserve">De velden met de witte achtergronden op de tabbladen "invoer_woningen" én "invoer_aanpakken" moeten worden ingevuld. </t>
  </si>
  <si>
    <t xml:space="preserve">De tabbladen zijn beschermd om te voorkomen dat berekeningen (per ongeluk) worden aangepast. </t>
  </si>
  <si>
    <t xml:space="preserve">Indien u van mening bent dat een berekening niet klopt of u betere informatie heeft dan tot onze beschikking stond, kunt u ons dat laten weten (met onderbouwing). </t>
  </si>
  <si>
    <t>Kolommen B, C en D bepalen samen om welk "segment" het per regel gaat. De bron voor de categorieën is https://www.cbs.nl/nl-nl/maatwerk/2021/33/voorpublicatie-energielevering-aardgaswoningen-2020</t>
  </si>
  <si>
    <t>In kolom F geeft u aan hoeveel van deze woningen van eigenaar-bewoners zijn (i.e. koopwoningen).</t>
  </si>
  <si>
    <t xml:space="preserve">In kolom G geeft u een opsomming van alle postcode6 gegevens waar de genoemde woningen staan. </t>
  </si>
  <si>
    <t>In kolom H geeft u aan wat voor soort eigenaar deze woningen in bezit heeft.</t>
  </si>
  <si>
    <t>In kolom I geeft u aan of deze eigenaren onderdeel zijn van het samenwerkingsverband ('consortium') voor de MEER-aanvraag.</t>
  </si>
  <si>
    <t>In kolommen J, K en L worden gemiddelde gebruikscijfers opgezocht op basis van wat is ingevuld in kolommen B, C en D. De bron voor de gebruikscijfers is https://www.cbs.nl/nl-nl/maatwerk/2021/33/voorpublicatie-energielevering-aardgaswoningen-2020.</t>
  </si>
  <si>
    <t>In kolom M wordt de koppeling gemaakt tussen het segment en de door u toe te passen aanpak ('maatregelpakket'). Die aanpakken worden in het volgende tabblad gespecificeerd. Hier kunt u daar naar verwijzen.</t>
  </si>
  <si>
    <t>In kolommen R en S geeft u aan hoeveel woningen van het beschreven type er zijn binnen de beschreven twee scopes voor opschaling.</t>
  </si>
  <si>
    <t xml:space="preserve">Elke aanpak betreft de toe te passen materialen voor het totale maatregelpakket waarmee u de beoogde energiebesparing (beschreven in tabblad "invoer_woningen") voor een bepaalt segment wilt realiseren. </t>
  </si>
  <si>
    <t>Er is gekozen voor het focusen op de hoofdmaterialenstromen.</t>
  </si>
  <si>
    <t xml:space="preserve">De referentiewaarden zijn tot stand gekomen op basis van het marktaandeel van specifieke materialen en de door die materialen veroorzaakte uitstoot. Het gaat dus om wat nu 'marktgemiddeld' is. </t>
  </si>
  <si>
    <t xml:space="preserve">Indien in kolom J staat dat iets na 15 jaar vervangen moet worden, is daarmee rekening gehouden wat betreft het bepalen van de uitstoot (die Is dan twee keer ingerekend). </t>
  </si>
  <si>
    <t>Een negatief getal wil zeggen dat het materiaal CO2 uit de lucht haalt en (tijdelijk, maar langer dan de 30 jaar waar hier naar wordt gekeken) opslaat.</t>
  </si>
  <si>
    <t>In dit tabblad hoeft niets te worden ingevuld. Dit geeft een samenvatting van de belangrijkste kenmerken voortkomend uit de twee ingevulde tabbladen en de regels voor de MEER-steun.</t>
  </si>
  <si>
    <t xml:space="preserve">In kolom E geeft u aan hoeveel woningen van dit type u van plan bent binnen dit programma te renoveren. </t>
  </si>
  <si>
    <t>PROGRAMMADOELEN</t>
  </si>
  <si>
    <t>Aantal woningen dat voldoet aan eisen</t>
  </si>
  <si>
    <t>Aantal koopwoningen dat voldoet aan eisen</t>
  </si>
  <si>
    <t xml:space="preserve">Indien bij een segment een deel van de eigenaren onderdeel zijn van het consortium, wordt dat segment niet meegeteld. </t>
  </si>
  <si>
    <t>Huishoudelijk deel</t>
  </si>
  <si>
    <t>Algoritme bepaling huishoudelijk deel</t>
  </si>
  <si>
    <t>Bij bouwjaarklasse t/m 2012: geen WTW</t>
  </si>
  <si>
    <t>Voor de rest: gasgebruik = gebouwgebonden, elektragebruik = huishoudelijk</t>
  </si>
  <si>
    <t>Gebouwgebonden deel</t>
  </si>
  <si>
    <t>Daarna: gas omgezet in kWh om op te kunnen tellen bij elektragebruik</t>
  </si>
  <si>
    <t>Totaal huishoudelijk (kWh)</t>
  </si>
  <si>
    <t>Vanaf bouwjaarklasse 2013: WTW (250 kWh van de elektra is gebouwgebonden)</t>
  </si>
  <si>
    <t>(NIET MEEGENOMEN, wel overwogen:) Bij bouwjaarklasse t/m 2012: koken op gas (5% van gasgebruik is huishoudelijk, bron: Hier.nu)</t>
  </si>
  <si>
    <t>(NIET MEEGENOMEN, wel overwogen:) Vanaf bouwjaarklasse 2013: inductiekookplaat</t>
  </si>
  <si>
    <t>Q</t>
  </si>
  <si>
    <t>R</t>
  </si>
  <si>
    <t>S</t>
  </si>
  <si>
    <t>T</t>
  </si>
  <si>
    <t>U</t>
  </si>
  <si>
    <t>V</t>
  </si>
  <si>
    <t>W</t>
  </si>
  <si>
    <t>X</t>
  </si>
  <si>
    <t>Indirect TJ</t>
  </si>
  <si>
    <t>Opschalingspotentie Indirect</t>
  </si>
  <si>
    <t xml:space="preserve">In het in te vullen “CO2-reductie rekenmodel” wordt gebruik gemaakt van CBS energiegebruiksgegevens voor het bepalen van de situatie vóór renovatie. </t>
  </si>
  <si>
    <t>Bijlage 1: Forfaitaire waarden huishoudelijk gebruik</t>
  </si>
  <si>
    <t xml:space="preserve">Om in tabblad "invoer_woningen" in kolommen N t/m P tot vergelijkbare getallen te komen, moet bij de uitkomsten uit de NTA8800 berekening dus een aandeel voor huishoudelijk gebruik worden opgeteld. </t>
  </si>
  <si>
    <t>Alleen de groene cellen hierboven tellen mee.</t>
  </si>
  <si>
    <t>Gemiddelde subsidie per woning</t>
  </si>
  <si>
    <t>CO2-eq, gedurende 30 jaar, ton</t>
  </si>
  <si>
    <t>Totale besparing (tijdens gebruik + materiaalkeuze)</t>
  </si>
  <si>
    <t>aantallen woningen (Cel hiernaast mag niet rood zijn)</t>
  </si>
  <si>
    <t>CO2-eq uitstoot door gebruik</t>
  </si>
  <si>
    <t>CO2-eq gedurende 30 jaar, % (Cel hiernaast mag niet rood zijn)</t>
  </si>
  <si>
    <t>% gedurende 30 jaar (Cel hiernaast mag niet rood zijn)</t>
  </si>
  <si>
    <t>Keer 2 gedaan vanwege vervanging na 15 jaar (of slechtere energieprestatie)</t>
  </si>
  <si>
    <t>Keer 2 vanwege vervanging na 15 jaar</t>
  </si>
  <si>
    <t>Airofill</t>
  </si>
  <si>
    <t>kg CO2/kg materiaal</t>
  </si>
  <si>
    <t>dichtheid (kg / m3)</t>
  </si>
  <si>
    <t>lambda (W/mK)</t>
  </si>
  <si>
    <t>R452B</t>
  </si>
  <si>
    <t>Y</t>
  </si>
  <si>
    <t>Z</t>
  </si>
  <si>
    <t>AA</t>
  </si>
  <si>
    <t>AB</t>
  </si>
  <si>
    <t>AC</t>
  </si>
  <si>
    <t>AD</t>
  </si>
  <si>
    <t>AE</t>
  </si>
  <si>
    <t>AF</t>
  </si>
  <si>
    <t>AG</t>
  </si>
  <si>
    <t>AH</t>
  </si>
  <si>
    <t>Hempflax</t>
  </si>
  <si>
    <t>Bron: Alba. Hier zit ook een biogene component bij. Volledige onderbouwing is bekend bij Verbouwstromen.</t>
  </si>
  <si>
    <t>PROGRAMMADOELEN - Woningprestaties na renovatie</t>
  </si>
  <si>
    <t>AANPAK</t>
  </si>
  <si>
    <t>Toelichting: renovatie met de hiernaast beschreven aanpak, prestaties zoals blijken uit een NTA berekening voor een  voorbeeldwoning die representatief is voor de MEER-aanvraag.</t>
  </si>
  <si>
    <t>SEGMENT</t>
  </si>
  <si>
    <t>ENERGIELASTEN AANNAMES</t>
  </si>
  <si>
    <t>Kosten gasgebruik</t>
  </si>
  <si>
    <t>euro / m3</t>
  </si>
  <si>
    <t>Kosten elektra</t>
  </si>
  <si>
    <t>euro / kWh</t>
  </si>
  <si>
    <t>%</t>
  </si>
  <si>
    <t>Zelfgebruik</t>
  </si>
  <si>
    <t>Vastrecht gas</t>
  </si>
  <si>
    <t>Vastrecht elektra</t>
  </si>
  <si>
    <t>Vastrecht warmtenet</t>
  </si>
  <si>
    <t>euro / jaar</t>
  </si>
  <si>
    <t>Totaal per jaar</t>
  </si>
  <si>
    <t>Heffingskorting</t>
  </si>
  <si>
    <t>Kosten warmtenet</t>
  </si>
  <si>
    <t>euro / GJ</t>
  </si>
  <si>
    <t>Indicator</t>
  </si>
  <si>
    <t>Eenheid</t>
  </si>
  <si>
    <t>Aanname</t>
  </si>
  <si>
    <t>Bron</t>
  </si>
  <si>
    <t>Vaste kosten Gas</t>
  </si>
  <si>
    <t>Vaste kosten Elektra</t>
  </si>
  <si>
    <t>Terugleververgoeding elektra</t>
  </si>
  <si>
    <t>ENERGIELASTEN VOOR RENOVATIE - PEILJAAR 2025</t>
  </si>
  <si>
    <t>Onderzoek "Rekenmodellen Warmtenetten Vergeleken" - RVO/TKI - Marten Witkamp</t>
  </si>
  <si>
    <t>Totaal per maand</t>
  </si>
  <si>
    <t>ENERGIELASTEN NA RENOVATIE - PEILJAAR 2025</t>
  </si>
  <si>
    <t>ENERGIELASTEN</t>
  </si>
  <si>
    <t>Voor renovatie</t>
  </si>
  <si>
    <t>Na renovatie</t>
  </si>
  <si>
    <t>Verschil</t>
  </si>
  <si>
    <t>INDIRECTE OPSCHALINGSPOTENTIE</t>
  </si>
  <si>
    <t>Moet worden aangepast omdat segmenten nu dubbel geteld kunnen worden</t>
  </si>
  <si>
    <t>euro per jaar per huishouden</t>
  </si>
  <si>
    <t>Energielasten besparing</t>
  </si>
  <si>
    <t>Toelichting: renovatie met de hiernaast beschreven aanpak, prestaties zoals blijken uit een NTA berekening voor een voorbeeldwoning die representatief is voor de MEER-aanvraag.</t>
  </si>
  <si>
    <t>Milieucentraal</t>
  </si>
  <si>
    <t>woningen van hetzelfde type (segment) in eigendom van consortiumpartners</t>
  </si>
  <si>
    <t>CO2-eq reductie door materiaalkeuze</t>
  </si>
  <si>
    <t>euro per jaar voor alle beschreven woningen</t>
  </si>
  <si>
    <t>Totale energielasten voor renovatie</t>
  </si>
  <si>
    <t>Totale energielasten na renovatie</t>
  </si>
  <si>
    <t>Besparing energielasten</t>
  </si>
  <si>
    <t>Botsproeven in het kader van de Energieprestatievergoeding (RVO, VRO)</t>
  </si>
  <si>
    <r>
      <t xml:space="preserve">N.B.: dit betreft het </t>
    </r>
    <r>
      <rPr>
        <b/>
        <i/>
        <sz val="10"/>
        <color theme="1"/>
        <rFont val="Calibri"/>
        <family val="2"/>
        <scheme val="minor"/>
      </rPr>
      <t>gebouwgebonden gebruik</t>
    </r>
    <r>
      <rPr>
        <i/>
        <sz val="10"/>
        <color theme="1"/>
        <rFont val="Calibri"/>
        <family val="2"/>
        <scheme val="minor"/>
      </rPr>
      <t>. Voor het huishoudelijk gebruik wordt in de rekenregels een aantal kWh opgeteld, zoals vermeld in tabblad 'bijlage'.</t>
    </r>
  </si>
  <si>
    <t>Huishoudelijk gebruik na renovatie</t>
  </si>
  <si>
    <t>kWh elektra</t>
  </si>
  <si>
    <t>Dat aandeel huishoudelijk gebruik wordt in het rekenmodel vanzelf opgeteld vanuit de gegevens uit onderstaande tabel.</t>
  </si>
  <si>
    <t>Voor de context van de MEER-subsidie is gebruik gemaakt van dezelfde gegevens als bij de tijdelijke regeling hypothecair krediet.</t>
  </si>
  <si>
    <t>Unique segment</t>
  </si>
  <si>
    <t>Indirecte opschalingspotentie</t>
  </si>
  <si>
    <t>Versie:8 september 2024</t>
  </si>
  <si>
    <t>Doel van dit rekenmodel: het invullen en opsturen van dit rekenmodel is verplicht voor het doen van een aanvraag voor tranche 2 van de MEER-steun (Meerjarige Experimenten Effectieve Renovatiestromen)</t>
  </si>
  <si>
    <t>Er is ruimte voor  20 verschillende segmenten. Heeft u meer segmenten? Probeer zo veel mogelijk te clusteren voor zover woningen met dezelfde aanpak worden gerenoveerd.</t>
  </si>
  <si>
    <t>Er is ruimte voor 5 verschillende aanpakken. Wilt u meer aanpakken inzetten? Probeer te focusen op een beperkt aantal aanpakken die standaardiseerbaar en industrialiseerbaar zijn.</t>
  </si>
  <si>
    <t xml:space="preserve">In kolommen N, O, P en Q wordt opgezocht welke prestatie de in tabblad "invoer_aanpakken" beschreven aanpak moet geven. </t>
  </si>
  <si>
    <t xml:space="preserve">In kolommen K, L, M, N geeft u aan welke energieprestaties u wilt bereiken na toepassing van de gekozen aanpak. N.B. hiervoor moet een op NTA8800 gebaseerde berekening worden uitgevoerd om het getal te onderbouwen. </t>
  </si>
  <si>
    <t>In kolom O mogen geen rode velden voorkomen. Althans: de segmenten waar hier een rood veld verschijnt, voldoen niet aan de MEER-criteria en worden niet meegenomen bij de totaalberekeningen.</t>
  </si>
  <si>
    <t xml:space="preserve">Cel D43 mag ook niet rood worden. Er moeten minimaal 500 woningen kwalificeren voor de MEER-steun, wil de aanvraag beoordeeld kunnen worden. </t>
  </si>
  <si>
    <t>WONINGEN</t>
  </si>
  <si>
    <t>RESULTAAT</t>
  </si>
  <si>
    <t xml:space="preserve">Er zijn drie verborgen tabbladen met kentallen, berekeningen en uitgangspunten, ter informatie. Die zijn zichtbaar te maken door met de rechtermuisknop op een tabblad te klikken. </t>
  </si>
  <si>
    <t xml:space="preserve">Voor het bepalen van het energiegebruik ná renovatie wordt een NTA berekening gevraagd voor elk van de in het rekenmodel beschreven aanpakken. Een NTA berekening geeft echter slechts het gebouwgebonden gebruik en doet geen schatting van het huishoudelijk gebruik.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</si>
</sst>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quot;€&quot;\ * #,##0.00_ ;_ &quot;€&quot;\ * \-#,##0.00_ ;_ &quot;€&quot;\ * &quot;-&quot;??_ ;_ @_ "/>
    <numFmt numFmtId="43" formatCode="_ * #,##0.00_ ;_ * \-#,##0.00_ ;_ * &quot;-&quot;??_ ;_ @_ "/>
    <numFmt numFmtId="164" formatCode="_ [$€-2]\ * #,##0_ ;_ [$€-2]\ * \-#,##0_ ;_ [$€-2]\ * &quot;-&quot;??_ ;_ @_ "/>
    <numFmt numFmtId="165" formatCode="#,##0.0"/>
    <numFmt numFmtId="166" formatCode="0.00000"/>
    <numFmt numFmtId="167" formatCode="0.0"/>
    <numFmt numFmtId="168" formatCode="_ * #,##0_ ;_ * \-#,##0_ ;_ * &quot;-&quot;??_ ;_ @_ "/>
    <numFmt numFmtId="169" formatCode="_ &quot;€&quot;\ * #,##0_ ;_ &quot;€&quot;\ * \-#,##0_ ;_ &quot;€&quot;\ * &quot;-&quot;??_ ;_ @_ "/>
  </numFmts>
  <fonts count="29" x14ac:knownFonts="1">
    <font>
      <sz val="10"/>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i/>
      <sz val="10"/>
      <color rgb="FFFF0000"/>
      <name val="Calibri"/>
      <family val="2"/>
      <scheme val="minor"/>
    </font>
    <font>
      <u/>
      <sz val="10"/>
      <color theme="10"/>
      <name val="Calibri"/>
      <family val="2"/>
      <scheme val="minor"/>
    </font>
    <font>
      <i/>
      <u/>
      <sz val="10"/>
      <color theme="10"/>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i/>
      <sz val="11"/>
      <name val="Calibri"/>
      <family val="2"/>
      <scheme val="minor"/>
    </font>
    <font>
      <b/>
      <sz val="11"/>
      <color rgb="FFFF0000"/>
      <name val="Calibri"/>
      <family val="2"/>
      <scheme val="minor"/>
    </font>
    <font>
      <b/>
      <i/>
      <sz val="11"/>
      <color theme="1"/>
      <name val="Calibri"/>
      <family val="2"/>
      <scheme val="minor"/>
    </font>
    <font>
      <strike/>
      <sz val="11"/>
      <color theme="1"/>
      <name val="Calibri"/>
      <family val="2"/>
      <scheme val="minor"/>
    </font>
    <font>
      <i/>
      <sz val="11"/>
      <color rgb="FFFF0000"/>
      <name val="Calibri"/>
      <family val="2"/>
      <scheme val="minor"/>
    </font>
    <font>
      <b/>
      <sz val="16"/>
      <color theme="1"/>
      <name val="Calibri"/>
      <family val="2"/>
      <scheme val="minor"/>
    </font>
    <font>
      <sz val="11"/>
      <name val="Calibri"/>
      <family val="2"/>
      <scheme val="minor"/>
    </font>
    <font>
      <b/>
      <sz val="11"/>
      <name val="Calibri"/>
      <family val="2"/>
      <scheme val="minor"/>
    </font>
    <font>
      <b/>
      <sz val="18"/>
      <color theme="1"/>
      <name val="Calibri"/>
      <family val="2"/>
      <scheme val="minor"/>
    </font>
    <font>
      <b/>
      <sz val="17"/>
      <color rgb="FF2D6B75"/>
      <name val="Calibri"/>
      <family val="2"/>
    </font>
    <font>
      <b/>
      <i/>
      <sz val="10"/>
      <color theme="1"/>
      <name val="Calibri"/>
      <family val="2"/>
      <scheme val="minor"/>
    </font>
    <font>
      <sz val="9"/>
      <color indexed="81"/>
      <name val="Tahoma"/>
      <family val="2"/>
    </font>
    <font>
      <b/>
      <sz val="9"/>
      <color indexed="81"/>
      <name val="Tahoma"/>
      <family val="2"/>
    </font>
    <font>
      <sz val="10"/>
      <color theme="1" tint="0.499984740745262"/>
      <name val="Calibri"/>
      <family val="2"/>
      <scheme val="minor"/>
    </font>
    <font>
      <sz val="16"/>
      <color theme="1"/>
      <name val="Calibri"/>
      <family val="2"/>
      <scheme val="minor"/>
    </font>
    <font>
      <b/>
      <sz val="10"/>
      <color theme="8" tint="-0.249977111117893"/>
      <name val="Calibri"/>
      <family val="2"/>
      <scheme val="minor"/>
    </font>
  </fonts>
  <fills count="12">
    <fill>
      <patternFill patternType="none"/>
    </fill>
    <fill>
      <patternFill patternType="gray125"/>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0" tint="-0.249977111117893"/>
        <bgColor indexed="64"/>
      </patternFill>
    </fill>
    <fill>
      <patternFill patternType="solid">
        <fgColor theme="0"/>
        <bgColor indexed="64"/>
      </patternFill>
    </fill>
    <fill>
      <patternFill patternType="solid">
        <fgColor rgb="FFD092DA"/>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4596A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6">
    <xf numFmtId="0" fontId="0" fillId="0" borderId="0"/>
    <xf numFmtId="9" fontId="2" fillId="0" borderId="0" applyFont="0" applyFill="0" applyBorder="0" applyAlignment="0" applyProtection="0"/>
    <xf numFmtId="0" fontId="7" fillId="0" borderId="0" applyNumberFormat="0" applyFill="0" applyBorder="0" applyAlignment="0" applyProtection="0"/>
    <xf numFmtId="43" fontId="2" fillId="0" borderId="0" applyFont="0" applyFill="0" applyBorder="0" applyAlignment="0" applyProtection="0"/>
    <xf numFmtId="0" fontId="9" fillId="0" borderId="0"/>
    <xf numFmtId="44" fontId="9" fillId="0" borderId="0" applyFont="0" applyFill="0" applyBorder="0" applyAlignment="0" applyProtection="0"/>
  </cellStyleXfs>
  <cellXfs count="145">
    <xf numFmtId="0" fontId="0" fillId="0" borderId="0" xfId="0"/>
    <xf numFmtId="0" fontId="0" fillId="5" borderId="0" xfId="0" applyFill="1" applyAlignment="1">
      <alignment horizontal="center"/>
    </xf>
    <xf numFmtId="0" fontId="0" fillId="5" borderId="0" xfId="0" applyFill="1"/>
    <xf numFmtId="0" fontId="3" fillId="5" borderId="0" xfId="0" applyFont="1" applyFill="1" applyAlignment="1">
      <alignment horizontal="center"/>
    </xf>
    <xf numFmtId="0" fontId="3" fillId="5" borderId="0" xfId="0" applyFont="1" applyFill="1"/>
    <xf numFmtId="0" fontId="4" fillId="5" borderId="0" xfId="0" applyFont="1" applyFill="1" applyAlignment="1">
      <alignment horizontal="center" wrapText="1"/>
    </xf>
    <xf numFmtId="0" fontId="4" fillId="5" borderId="0" xfId="0" applyFont="1" applyFill="1" applyAlignment="1">
      <alignment wrapText="1"/>
    </xf>
    <xf numFmtId="0" fontId="0" fillId="5" borderId="1" xfId="0" applyFill="1" applyBorder="1"/>
    <xf numFmtId="0" fontId="0" fillId="6" borderId="1" xfId="0" applyFill="1" applyBorder="1"/>
    <xf numFmtId="0" fontId="0" fillId="6" borderId="1" xfId="0" applyFill="1" applyBorder="1" applyAlignment="1">
      <alignment horizontal="center"/>
    </xf>
    <xf numFmtId="0" fontId="0" fillId="3" borderId="0" xfId="0" applyFill="1" applyAlignment="1">
      <alignment horizontal="center"/>
    </xf>
    <xf numFmtId="0" fontId="4" fillId="5" borderId="0" xfId="0" applyFont="1" applyFill="1"/>
    <xf numFmtId="0" fontId="0" fillId="5" borderId="0" xfId="0" applyFill="1" applyAlignment="1">
      <alignment horizontal="center" wrapText="1"/>
    </xf>
    <xf numFmtId="0" fontId="0" fillId="5" borderId="0" xfId="0" applyFill="1" applyAlignment="1">
      <alignment wrapText="1"/>
    </xf>
    <xf numFmtId="0" fontId="3" fillId="5" borderId="0" xfId="0" applyFont="1" applyFill="1" applyAlignment="1">
      <alignment horizontal="left"/>
    </xf>
    <xf numFmtId="0" fontId="0" fillId="5" borderId="0" xfId="0" applyFill="1" applyAlignment="1">
      <alignment horizontal="left"/>
    </xf>
    <xf numFmtId="0" fontId="3" fillId="5" borderId="0" xfId="0" applyFont="1" applyFill="1" applyAlignment="1">
      <alignment wrapText="1"/>
    </xf>
    <xf numFmtId="9" fontId="0" fillId="5" borderId="1" xfId="0" applyNumberFormat="1" applyFill="1" applyBorder="1"/>
    <xf numFmtId="164" fontId="0" fillId="5" borderId="1" xfId="0" applyNumberFormat="1" applyFill="1" applyBorder="1"/>
    <xf numFmtId="9" fontId="0" fillId="5" borderId="1" xfId="1" applyFont="1" applyFill="1" applyBorder="1"/>
    <xf numFmtId="1" fontId="0" fillId="5" borderId="0" xfId="0" applyNumberFormat="1" applyFill="1" applyAlignment="1">
      <alignment horizontal="center"/>
    </xf>
    <xf numFmtId="1" fontId="3" fillId="5" borderId="0" xfId="0" applyNumberFormat="1" applyFont="1" applyFill="1" applyAlignment="1">
      <alignment horizontal="center"/>
    </xf>
    <xf numFmtId="165" fontId="0" fillId="8" borderId="1" xfId="0" applyNumberFormat="1" applyFill="1" applyBorder="1"/>
    <xf numFmtId="165" fontId="0" fillId="9" borderId="1" xfId="0" applyNumberFormat="1" applyFill="1" applyBorder="1"/>
    <xf numFmtId="165" fontId="0" fillId="5" borderId="0" xfId="0" applyNumberFormat="1" applyFill="1"/>
    <xf numFmtId="165" fontId="0" fillId="5" borderId="1" xfId="0" applyNumberFormat="1" applyFill="1" applyBorder="1"/>
    <xf numFmtId="0" fontId="5" fillId="5" borderId="0" xfId="0" applyFont="1" applyFill="1"/>
    <xf numFmtId="0" fontId="4" fillId="5" borderId="0" xfId="0" applyFont="1" applyFill="1" applyAlignment="1">
      <alignment horizontal="center"/>
    </xf>
    <xf numFmtId="0" fontId="6" fillId="5" borderId="0" xfId="0" applyFont="1" applyFill="1" applyAlignment="1">
      <alignment horizontal="center"/>
    </xf>
    <xf numFmtId="1" fontId="4" fillId="5" borderId="0" xfId="0" applyNumberFormat="1" applyFont="1" applyFill="1" applyAlignment="1">
      <alignment horizontal="center"/>
    </xf>
    <xf numFmtId="3" fontId="0" fillId="5" borderId="1" xfId="0" applyNumberFormat="1" applyFill="1" applyBorder="1"/>
    <xf numFmtId="0" fontId="3" fillId="5" borderId="0" xfId="0" applyFont="1" applyFill="1" applyAlignment="1">
      <alignment horizontal="center" wrapText="1"/>
    </xf>
    <xf numFmtId="0" fontId="0" fillId="6" borderId="1" xfId="0" applyFill="1" applyBorder="1" applyAlignment="1">
      <alignment horizontal="center" wrapText="1"/>
    </xf>
    <xf numFmtId="0" fontId="4" fillId="5" borderId="0" xfId="0" quotePrefix="1" applyFont="1" applyFill="1" applyAlignment="1">
      <alignment horizontal="left"/>
    </xf>
    <xf numFmtId="0" fontId="8" fillId="5" borderId="0" xfId="2" applyFont="1" applyFill="1" applyAlignment="1">
      <alignment horizontal="left"/>
    </xf>
    <xf numFmtId="3" fontId="0" fillId="9" borderId="1" xfId="0" applyNumberFormat="1" applyFill="1" applyBorder="1"/>
    <xf numFmtId="3" fontId="0" fillId="8" borderId="1" xfId="0" applyNumberFormat="1" applyFill="1" applyBorder="1"/>
    <xf numFmtId="3" fontId="0" fillId="5" borderId="0" xfId="0" applyNumberFormat="1" applyFill="1"/>
    <xf numFmtId="3" fontId="0" fillId="5" borderId="1" xfId="0" applyNumberFormat="1" applyFill="1" applyBorder="1" applyAlignment="1">
      <alignment horizontal="center"/>
    </xf>
    <xf numFmtId="9" fontId="4" fillId="5" borderId="0" xfId="1" applyFont="1" applyFill="1" applyAlignment="1">
      <alignment horizontal="center"/>
    </xf>
    <xf numFmtId="0" fontId="4" fillId="5" borderId="0" xfId="0" applyFont="1" applyFill="1" applyAlignment="1">
      <alignment horizontal="left"/>
    </xf>
    <xf numFmtId="166" fontId="0" fillId="5" borderId="0" xfId="0" applyNumberFormat="1" applyFill="1" applyAlignment="1">
      <alignment horizontal="center"/>
    </xf>
    <xf numFmtId="0" fontId="10" fillId="5" borderId="0" xfId="4" applyFont="1" applyFill="1"/>
    <xf numFmtId="0" fontId="9" fillId="5" borderId="0" xfId="4" applyFill="1"/>
    <xf numFmtId="0" fontId="12" fillId="5" borderId="0" xfId="4" applyFont="1" applyFill="1"/>
    <xf numFmtId="0" fontId="10" fillId="5" borderId="0" xfId="4" applyFont="1" applyFill="1" applyAlignment="1">
      <alignment wrapText="1"/>
    </xf>
    <xf numFmtId="0" fontId="11" fillId="5" borderId="0" xfId="4" applyFont="1" applyFill="1"/>
    <xf numFmtId="0" fontId="11" fillId="5" borderId="0" xfId="4" applyFont="1" applyFill="1" applyAlignment="1">
      <alignment horizontal="right"/>
    </xf>
    <xf numFmtId="2" fontId="9" fillId="5" borderId="0" xfId="4" applyNumberFormat="1" applyFill="1"/>
    <xf numFmtId="0" fontId="9" fillId="5" borderId="0" xfId="4" applyFill="1" applyAlignment="1">
      <alignment horizontal="right"/>
    </xf>
    <xf numFmtId="0" fontId="16" fillId="5" borderId="0" xfId="4" applyFont="1" applyFill="1"/>
    <xf numFmtId="0" fontId="14" fillId="5" borderId="0" xfId="4" applyFont="1" applyFill="1"/>
    <xf numFmtId="165" fontId="9" fillId="5" borderId="0" xfId="4" applyNumberFormat="1" applyFill="1"/>
    <xf numFmtId="167" fontId="10" fillId="5" borderId="0" xfId="4" applyNumberFormat="1" applyFont="1" applyFill="1"/>
    <xf numFmtId="0" fontId="13" fillId="5" borderId="0" xfId="4" applyFont="1" applyFill="1"/>
    <xf numFmtId="0" fontId="15" fillId="5" borderId="0" xfId="4" applyFont="1" applyFill="1"/>
    <xf numFmtId="4" fontId="9" fillId="5" borderId="0" xfId="4" applyNumberFormat="1" applyFill="1"/>
    <xf numFmtId="9" fontId="9" fillId="5" borderId="0" xfId="4" applyNumberFormat="1" applyFill="1"/>
    <xf numFmtId="4" fontId="12" fillId="5" borderId="0" xfId="4" applyNumberFormat="1" applyFont="1" applyFill="1"/>
    <xf numFmtId="4" fontId="10" fillId="5" borderId="0" xfId="4" applyNumberFormat="1" applyFont="1" applyFill="1"/>
    <xf numFmtId="2" fontId="10" fillId="5" borderId="0" xfId="4" applyNumberFormat="1" applyFont="1" applyFill="1"/>
    <xf numFmtId="1" fontId="9" fillId="5" borderId="0" xfId="4" applyNumberFormat="1" applyFill="1"/>
    <xf numFmtId="1" fontId="10" fillId="5" borderId="0" xfId="4" applyNumberFormat="1" applyFont="1" applyFill="1"/>
    <xf numFmtId="167" fontId="9" fillId="5" borderId="0" xfId="4" applyNumberFormat="1" applyFill="1"/>
    <xf numFmtId="0" fontId="17" fillId="5" borderId="0" xfId="4" applyFont="1" applyFill="1" applyAlignment="1">
      <alignment horizontal="right"/>
    </xf>
    <xf numFmtId="0" fontId="2" fillId="5" borderId="0" xfId="4" applyFont="1" applyFill="1"/>
    <xf numFmtId="0" fontId="2" fillId="6" borderId="1" xfId="4" applyFont="1" applyFill="1" applyBorder="1"/>
    <xf numFmtId="167" fontId="2" fillId="6" borderId="1" xfId="4" applyNumberFormat="1" applyFont="1" applyFill="1" applyBorder="1"/>
    <xf numFmtId="168" fontId="2" fillId="6" borderId="1" xfId="3" applyNumberFormat="1" applyFont="1" applyFill="1" applyBorder="1"/>
    <xf numFmtId="0" fontId="3" fillId="3" borderId="0" xfId="0" applyFont="1" applyFill="1" applyAlignment="1">
      <alignment horizontal="left"/>
    </xf>
    <xf numFmtId="167" fontId="0" fillId="5" borderId="1" xfId="1" applyNumberFormat="1" applyFont="1" applyFill="1" applyBorder="1"/>
    <xf numFmtId="0" fontId="2" fillId="5" borderId="0" xfId="4" applyFont="1" applyFill="1" applyAlignment="1">
      <alignment horizontal="center"/>
    </xf>
    <xf numFmtId="0" fontId="3" fillId="5" borderId="0" xfId="4" applyFont="1" applyFill="1"/>
    <xf numFmtId="0" fontId="3" fillId="5" borderId="0" xfId="4" applyFont="1" applyFill="1" applyAlignment="1">
      <alignment wrapText="1"/>
    </xf>
    <xf numFmtId="0" fontId="3" fillId="5" borderId="0" xfId="4" applyFont="1" applyFill="1" applyAlignment="1">
      <alignment horizontal="right"/>
    </xf>
    <xf numFmtId="1" fontId="2" fillId="5" borderId="0" xfId="4" applyNumberFormat="1" applyFont="1" applyFill="1" applyAlignment="1">
      <alignment horizontal="right"/>
    </xf>
    <xf numFmtId="3" fontId="2" fillId="5" borderId="0" xfId="4" applyNumberFormat="1" applyFont="1" applyFill="1" applyAlignment="1">
      <alignment horizontal="right"/>
    </xf>
    <xf numFmtId="2" fontId="2" fillId="5" borderId="0" xfId="4" applyNumberFormat="1" applyFont="1" applyFill="1" applyAlignment="1">
      <alignment horizontal="right"/>
    </xf>
    <xf numFmtId="0" fontId="2" fillId="5" borderId="0" xfId="4" applyFont="1" applyFill="1" applyAlignment="1">
      <alignment horizontal="right"/>
    </xf>
    <xf numFmtId="0" fontId="18" fillId="3" borderId="0" xfId="0" applyFont="1" applyFill="1" applyAlignment="1">
      <alignment horizontal="left"/>
    </xf>
    <xf numFmtId="0" fontId="1" fillId="5" borderId="0" xfId="4" applyFont="1" applyFill="1"/>
    <xf numFmtId="0" fontId="19" fillId="5" borderId="0" xfId="4" applyFont="1" applyFill="1"/>
    <xf numFmtId="9" fontId="9" fillId="5" borderId="0" xfId="1" applyFont="1" applyFill="1"/>
    <xf numFmtId="4" fontId="19" fillId="5" borderId="0" xfId="4" applyNumberFormat="1" applyFont="1" applyFill="1"/>
    <xf numFmtId="0" fontId="9" fillId="5" borderId="0" xfId="4" applyFill="1" applyAlignment="1">
      <alignment horizontal="left"/>
    </xf>
    <xf numFmtId="0" fontId="20" fillId="5" borderId="0" xfId="4" applyFont="1" applyFill="1" applyAlignment="1">
      <alignment wrapText="1"/>
    </xf>
    <xf numFmtId="2" fontId="19" fillId="5" borderId="0" xfId="4" applyNumberFormat="1" applyFont="1" applyFill="1"/>
    <xf numFmtId="0" fontId="10" fillId="5" borderId="0" xfId="4" applyFont="1" applyFill="1" applyAlignment="1">
      <alignment horizontal="center" wrapText="1"/>
    </xf>
    <xf numFmtId="0" fontId="9" fillId="5" borderId="0" xfId="4" applyFill="1" applyAlignment="1">
      <alignment horizontal="center"/>
    </xf>
    <xf numFmtId="0" fontId="9" fillId="5" borderId="0" xfId="4" applyFill="1" applyAlignment="1">
      <alignment wrapText="1"/>
    </xf>
    <xf numFmtId="1" fontId="0" fillId="5" borderId="0" xfId="0" applyNumberFormat="1" applyFill="1"/>
    <xf numFmtId="1" fontId="0" fillId="5" borderId="1" xfId="1" applyNumberFormat="1" applyFont="1" applyFill="1" applyBorder="1"/>
    <xf numFmtId="0" fontId="21" fillId="5" borderId="0" xfId="0" applyFont="1" applyFill="1"/>
    <xf numFmtId="0" fontId="0" fillId="5" borderId="1" xfId="0" applyFill="1" applyBorder="1" applyAlignment="1">
      <alignment wrapText="1"/>
    </xf>
    <xf numFmtId="0" fontId="0" fillId="5" borderId="2" xfId="0" applyFill="1" applyBorder="1"/>
    <xf numFmtId="0" fontId="0" fillId="5" borderId="3" xfId="0" applyFill="1" applyBorder="1"/>
    <xf numFmtId="0" fontId="0" fillId="5" borderId="4" xfId="0" applyFill="1" applyBorder="1"/>
    <xf numFmtId="0" fontId="0" fillId="5" borderId="0" xfId="0" quotePrefix="1" applyFill="1"/>
    <xf numFmtId="0" fontId="22" fillId="5" borderId="0" xfId="0" applyFont="1" applyFill="1" applyAlignment="1">
      <alignment vertical="center"/>
    </xf>
    <xf numFmtId="0" fontId="0" fillId="5" borderId="1" xfId="0" applyFill="1" applyBorder="1" applyAlignment="1">
      <alignment horizontal="center" wrapText="1"/>
    </xf>
    <xf numFmtId="0" fontId="1" fillId="5" borderId="0" xfId="4" applyFont="1" applyFill="1" applyAlignment="1">
      <alignment horizontal="center"/>
    </xf>
    <xf numFmtId="0" fontId="3" fillId="5" borderId="0" xfId="4" applyFont="1" applyFill="1" applyAlignment="1">
      <alignment horizontal="right" wrapText="1"/>
    </xf>
    <xf numFmtId="1" fontId="2" fillId="5" borderId="0" xfId="4" applyNumberFormat="1" applyFont="1" applyFill="1" applyAlignment="1">
      <alignment horizontal="right" wrapText="1"/>
    </xf>
    <xf numFmtId="0" fontId="2" fillId="5" borderId="0" xfId="4" applyFont="1" applyFill="1" applyAlignment="1">
      <alignment horizontal="right" wrapText="1"/>
    </xf>
    <xf numFmtId="3" fontId="2" fillId="5" borderId="0" xfId="4" applyNumberFormat="1" applyFont="1" applyFill="1" applyAlignment="1">
      <alignment horizontal="right" wrapText="1"/>
    </xf>
    <xf numFmtId="0" fontId="11" fillId="5" borderId="0" xfId="4" applyFont="1" applyFill="1" applyAlignment="1">
      <alignment horizontal="right" wrapText="1"/>
    </xf>
    <xf numFmtId="0" fontId="23" fillId="5" borderId="0" xfId="4" applyFont="1" applyFill="1"/>
    <xf numFmtId="0" fontId="3" fillId="10" borderId="0" xfId="0" applyFont="1" applyFill="1" applyAlignment="1">
      <alignment horizontal="left"/>
    </xf>
    <xf numFmtId="0" fontId="18" fillId="10" borderId="0" xfId="0" applyFont="1" applyFill="1" applyAlignment="1">
      <alignment horizontal="left"/>
    </xf>
    <xf numFmtId="0" fontId="3" fillId="10" borderId="0" xfId="0" applyFont="1" applyFill="1" applyAlignment="1">
      <alignment horizontal="right" wrapText="1"/>
    </xf>
    <xf numFmtId="0" fontId="2" fillId="6" borderId="1" xfId="4" applyFont="1" applyFill="1" applyBorder="1" applyAlignment="1">
      <alignment horizontal="center"/>
    </xf>
    <xf numFmtId="0" fontId="5" fillId="5" borderId="0" xfId="4" applyFont="1" applyFill="1" applyAlignment="1">
      <alignment horizontal="center"/>
    </xf>
    <xf numFmtId="0" fontId="4" fillId="5" borderId="0" xfId="4" applyFont="1" applyFill="1" applyAlignment="1">
      <alignment horizontal="left"/>
    </xf>
    <xf numFmtId="0" fontId="18" fillId="5" borderId="0" xfId="0" applyFont="1" applyFill="1" applyAlignment="1">
      <alignment horizontal="left"/>
    </xf>
    <xf numFmtId="0" fontId="18" fillId="5" borderId="0" xfId="0" applyFont="1" applyFill="1"/>
    <xf numFmtId="9" fontId="0" fillId="5" borderId="0" xfId="1" applyFont="1" applyFill="1"/>
    <xf numFmtId="9" fontId="0" fillId="5" borderId="0" xfId="1" applyFont="1" applyFill="1" applyAlignment="1">
      <alignment horizontal="center"/>
    </xf>
    <xf numFmtId="44" fontId="0" fillId="5" borderId="0" xfId="0" applyNumberFormat="1" applyFill="1" applyAlignment="1">
      <alignment horizontal="center"/>
    </xf>
    <xf numFmtId="44" fontId="0" fillId="5" borderId="0" xfId="0" applyNumberFormat="1" applyFill="1"/>
    <xf numFmtId="0" fontId="3" fillId="2" borderId="0" xfId="0" applyFont="1" applyFill="1" applyAlignment="1">
      <alignment horizontal="left"/>
    </xf>
    <xf numFmtId="0" fontId="3" fillId="4" borderId="0" xfId="0" applyFont="1" applyFill="1" applyAlignment="1">
      <alignment horizontal="center"/>
    </xf>
    <xf numFmtId="9" fontId="0" fillId="5" borderId="1" xfId="1" applyFont="1" applyFill="1" applyBorder="1" applyAlignment="1">
      <alignment horizontal="center" wrapText="1"/>
    </xf>
    <xf numFmtId="0" fontId="5" fillId="5" borderId="0" xfId="0" applyFont="1" applyFill="1" applyAlignment="1">
      <alignment horizontal="left"/>
    </xf>
    <xf numFmtId="169" fontId="0" fillId="5" borderId="1" xfId="0" applyNumberFormat="1" applyFill="1" applyBorder="1" applyAlignment="1">
      <alignment horizontal="center" wrapText="1"/>
    </xf>
    <xf numFmtId="169" fontId="0" fillId="5" borderId="1" xfId="0" applyNumberFormat="1" applyFill="1" applyBorder="1"/>
    <xf numFmtId="0" fontId="26" fillId="5" borderId="0" xfId="4" applyFont="1" applyFill="1"/>
    <xf numFmtId="0" fontId="27" fillId="5" borderId="0" xfId="0" applyFont="1" applyFill="1" applyAlignment="1">
      <alignment horizontal="center"/>
    </xf>
    <xf numFmtId="0" fontId="18" fillId="2" borderId="0" xfId="0" applyFont="1" applyFill="1" applyAlignment="1">
      <alignment horizontal="left"/>
    </xf>
    <xf numFmtId="0" fontId="27" fillId="2" borderId="0" xfId="0" applyFont="1" applyFill="1" applyAlignment="1">
      <alignment horizontal="center"/>
    </xf>
    <xf numFmtId="0" fontId="27" fillId="3" borderId="0" xfId="0" applyFont="1" applyFill="1" applyAlignment="1">
      <alignment horizontal="left"/>
    </xf>
    <xf numFmtId="0" fontId="27" fillId="3" borderId="0" xfId="0" applyFont="1" applyFill="1" applyAlignment="1">
      <alignment horizontal="center"/>
    </xf>
    <xf numFmtId="0" fontId="18" fillId="4" borderId="0" xfId="0" applyFont="1" applyFill="1" applyAlignment="1">
      <alignment horizontal="center"/>
    </xf>
    <xf numFmtId="0" fontId="27" fillId="5" borderId="0" xfId="0" applyFont="1" applyFill="1"/>
    <xf numFmtId="0" fontId="18" fillId="4" borderId="0" xfId="0" applyFont="1" applyFill="1"/>
    <xf numFmtId="0" fontId="27" fillId="4" borderId="0" xfId="0" applyFont="1" applyFill="1" applyAlignment="1">
      <alignment horizontal="center"/>
    </xf>
    <xf numFmtId="0" fontId="27" fillId="4" borderId="0" xfId="0" applyFont="1" applyFill="1" applyAlignment="1">
      <alignment horizontal="center" wrapText="1"/>
    </xf>
    <xf numFmtId="0" fontId="18" fillId="7" borderId="0" xfId="0" applyFont="1" applyFill="1" applyAlignment="1">
      <alignment horizontal="center"/>
    </xf>
    <xf numFmtId="0" fontId="3" fillId="2" borderId="0" xfId="0" applyFont="1" applyFill="1" applyAlignment="1">
      <alignment horizontal="center"/>
    </xf>
    <xf numFmtId="0" fontId="3" fillId="3" borderId="0" xfId="0" applyFont="1" applyFill="1" applyAlignment="1">
      <alignment horizontal="center"/>
    </xf>
    <xf numFmtId="0" fontId="3" fillId="4" borderId="0" xfId="0" applyFont="1" applyFill="1"/>
    <xf numFmtId="0" fontId="3" fillId="7" borderId="0" xfId="0" applyFont="1" applyFill="1"/>
    <xf numFmtId="0" fontId="3" fillId="11" borderId="0" xfId="0" applyFont="1" applyFill="1" applyAlignment="1">
      <alignment horizontal="center"/>
    </xf>
    <xf numFmtId="0" fontId="3" fillId="10" borderId="0" xfId="0" applyFont="1" applyFill="1" applyAlignment="1">
      <alignment horizontal="center" wrapText="1"/>
    </xf>
    <xf numFmtId="0" fontId="28" fillId="5" borderId="1" xfId="0" applyFont="1" applyFill="1" applyBorder="1" applyAlignment="1">
      <alignment wrapText="1"/>
    </xf>
    <xf numFmtId="0" fontId="10" fillId="5" borderId="0" xfId="4" applyFont="1" applyFill="1" applyAlignment="1">
      <alignment horizontal="center" wrapText="1"/>
    </xf>
  </cellXfs>
  <cellStyles count="6">
    <cellStyle name="Comma" xfId="3" builtinId="3"/>
    <cellStyle name="Currency 2" xfId="5" xr:uid="{20DA2D82-308B-4ED7-843B-3D14D7234585}"/>
    <cellStyle name="Hyperlink" xfId="2" builtinId="8"/>
    <cellStyle name="Normal" xfId="0" builtinId="0"/>
    <cellStyle name="Normal 2" xfId="4" xr:uid="{97D073C9-18A9-495E-9662-17BDA438A755}"/>
    <cellStyle name="Percent" xfId="1" builtinId="5"/>
  </cellStyles>
  <dxfs count="12">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s>
  <tableStyles count="0" defaultTableStyle="TableStyleMedium2" defaultPivotStyle="PivotStyleLight16"/>
  <colors>
    <mruColors>
      <color rgb="FFD092DA"/>
      <color rgb="FF4596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Ivo Opstelten" id="{94648D8F-91AE-4A54-BD2A-B6D5C85B9867}" userId="be817920ef125a4b" providerId="Windows Live"/>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4" dT="2023-10-01T23:48:09.58" personId="{94648D8F-91AE-4A54-BD2A-B6D5C85B9867}" id="{63E84D35-4FDC-46A3-B917-D1579D80B254}">
    <text>Maal 2 ivm 15 jaar levensduur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E87D0-1BCE-4357-A623-F14508089964}">
  <dimension ref="A1:B40"/>
  <sheetViews>
    <sheetView workbookViewId="0">
      <selection activeCell="L20" sqref="L20"/>
    </sheetView>
  </sheetViews>
  <sheetFormatPr defaultColWidth="8.8984375" defaultRowHeight="13" x14ac:dyDescent="0.3"/>
  <cols>
    <col min="1" max="1" width="26" style="2" customWidth="1"/>
    <col min="2" max="2" width="144.296875" style="13" customWidth="1"/>
    <col min="3" max="16384" width="8.8984375" style="2"/>
  </cols>
  <sheetData>
    <row r="1" spans="1:2" ht="23.5" x14ac:dyDescent="0.55000000000000004">
      <c r="A1" s="92" t="s">
        <v>264</v>
      </c>
    </row>
    <row r="2" spans="1:2" x14ac:dyDescent="0.3">
      <c r="A2" s="2" t="s">
        <v>392</v>
      </c>
    </row>
    <row r="3" spans="1:2" x14ac:dyDescent="0.3">
      <c r="A3" s="2" t="s">
        <v>391</v>
      </c>
    </row>
    <row r="5" spans="1:2" x14ac:dyDescent="0.3">
      <c r="A5" s="4" t="s">
        <v>232</v>
      </c>
    </row>
    <row r="6" spans="1:2" x14ac:dyDescent="0.3">
      <c r="A6" s="94" t="s">
        <v>240</v>
      </c>
      <c r="B6" s="143" t="s">
        <v>265</v>
      </c>
    </row>
    <row r="7" spans="1:2" ht="26" x14ac:dyDescent="0.3">
      <c r="A7" s="95"/>
      <c r="B7" s="93" t="s">
        <v>401</v>
      </c>
    </row>
    <row r="8" spans="1:2" x14ac:dyDescent="0.3">
      <c r="A8" s="95"/>
      <c r="B8" s="93" t="s">
        <v>266</v>
      </c>
    </row>
    <row r="9" spans="1:2" x14ac:dyDescent="0.3">
      <c r="A9" s="96"/>
      <c r="B9" s="93" t="s">
        <v>267</v>
      </c>
    </row>
    <row r="10" spans="1:2" ht="26" x14ac:dyDescent="0.3">
      <c r="A10" s="94" t="s">
        <v>234</v>
      </c>
      <c r="B10" s="93" t="s">
        <v>394</v>
      </c>
    </row>
    <row r="11" spans="1:2" ht="26" x14ac:dyDescent="0.3">
      <c r="A11" s="95"/>
      <c r="B11" s="93" t="s">
        <v>276</v>
      </c>
    </row>
    <row r="12" spans="1:2" x14ac:dyDescent="0.3">
      <c r="A12" s="95"/>
      <c r="B12" s="93" t="s">
        <v>277</v>
      </c>
    </row>
    <row r="13" spans="1:2" ht="26" x14ac:dyDescent="0.3">
      <c r="A13" s="95"/>
      <c r="B13" s="93" t="s">
        <v>278</v>
      </c>
    </row>
    <row r="14" spans="1:2" ht="26" x14ac:dyDescent="0.3">
      <c r="A14" s="95"/>
      <c r="B14" s="93" t="s">
        <v>279</v>
      </c>
    </row>
    <row r="15" spans="1:2" x14ac:dyDescent="0.3">
      <c r="A15" s="95"/>
      <c r="B15" s="93" t="s">
        <v>280</v>
      </c>
    </row>
    <row r="16" spans="1:2" ht="26" x14ac:dyDescent="0.3">
      <c r="A16" s="96"/>
      <c r="B16" s="143" t="s">
        <v>396</v>
      </c>
    </row>
    <row r="17" spans="1:2" ht="26" x14ac:dyDescent="0.3">
      <c r="A17" s="94" t="s">
        <v>233</v>
      </c>
      <c r="B17" s="93" t="s">
        <v>393</v>
      </c>
    </row>
    <row r="18" spans="1:2" ht="26" x14ac:dyDescent="0.3">
      <c r="A18" s="95"/>
      <c r="B18" s="93" t="s">
        <v>268</v>
      </c>
    </row>
    <row r="19" spans="1:2" x14ac:dyDescent="0.3">
      <c r="A19" s="95"/>
      <c r="B19" s="93" t="s">
        <v>282</v>
      </c>
    </row>
    <row r="20" spans="1:2" x14ac:dyDescent="0.3">
      <c r="A20" s="95"/>
      <c r="B20" s="93" t="s">
        <v>269</v>
      </c>
    </row>
    <row r="21" spans="1:2" x14ac:dyDescent="0.3">
      <c r="A21" s="95"/>
      <c r="B21" s="93" t="s">
        <v>270</v>
      </c>
    </row>
    <row r="22" spans="1:2" x14ac:dyDescent="0.3">
      <c r="A22" s="95"/>
      <c r="B22" s="93" t="s">
        <v>271</v>
      </c>
    </row>
    <row r="23" spans="1:2" x14ac:dyDescent="0.3">
      <c r="A23" s="95"/>
      <c r="B23" s="93" t="s">
        <v>272</v>
      </c>
    </row>
    <row r="24" spans="1:2" ht="26" x14ac:dyDescent="0.3">
      <c r="A24" s="95"/>
      <c r="B24" s="93" t="s">
        <v>273</v>
      </c>
    </row>
    <row r="25" spans="1:2" ht="26" x14ac:dyDescent="0.3">
      <c r="A25" s="95"/>
      <c r="B25" s="143" t="s">
        <v>274</v>
      </c>
    </row>
    <row r="26" spans="1:2" x14ac:dyDescent="0.3">
      <c r="A26" s="95"/>
      <c r="B26" s="93" t="s">
        <v>395</v>
      </c>
    </row>
    <row r="27" spans="1:2" x14ac:dyDescent="0.3">
      <c r="A27" s="96"/>
      <c r="B27" s="93" t="s">
        <v>275</v>
      </c>
    </row>
    <row r="28" spans="1:2" ht="26" x14ac:dyDescent="0.3">
      <c r="A28" s="94" t="s">
        <v>235</v>
      </c>
      <c r="B28" s="93" t="s">
        <v>281</v>
      </c>
    </row>
    <row r="29" spans="1:2" ht="26" x14ac:dyDescent="0.3">
      <c r="A29" s="95"/>
      <c r="B29" s="93" t="s">
        <v>397</v>
      </c>
    </row>
    <row r="30" spans="1:2" x14ac:dyDescent="0.3">
      <c r="A30" s="96"/>
      <c r="B30" s="93" t="s">
        <v>398</v>
      </c>
    </row>
    <row r="40" spans="1:1" x14ac:dyDescent="0.3">
      <c r="A40" s="4"/>
    </row>
  </sheetData>
  <sheetProtection algorithmName="SHA-512" hashValue="YfhXR+VwK03p/2gOu6Ygv3RyGtnfvmCs+51qf8/G5jAN9qdd6WgCnW1DNgEdhEHjhAgd2bhnUEK9YwYo9+aosg==" saltValue="iPLHIY9fcgyClD1Htt2Gjg=="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87B9-F919-4592-A691-2B5F7F387292}">
  <dimension ref="A1:N235"/>
  <sheetViews>
    <sheetView topLeftCell="B1" workbookViewId="0">
      <selection activeCell="M4" sqref="M4"/>
    </sheetView>
  </sheetViews>
  <sheetFormatPr defaultColWidth="8.8984375" defaultRowHeight="13" outlineLevelRow="1" x14ac:dyDescent="0.3"/>
  <cols>
    <col min="1" max="1" width="0" style="71" hidden="1" customWidth="1"/>
    <col min="2" max="2" width="22.3984375" style="65" customWidth="1"/>
    <col min="3" max="3" width="17.8984375" style="65" customWidth="1"/>
    <col min="4" max="4" width="31.296875" style="65" bestFit="1" customWidth="1"/>
    <col min="5" max="5" width="22" style="65" customWidth="1"/>
    <col min="6" max="6" width="22.09765625" style="103" customWidth="1"/>
    <col min="7" max="7" width="22.8984375" style="78" customWidth="1"/>
    <col min="8" max="8" width="22.3984375" style="103" customWidth="1"/>
    <col min="9" max="9" width="1.69921875" style="65" customWidth="1"/>
    <col min="10" max="10" width="23.296875" style="125" customWidth="1"/>
    <col min="11" max="11" width="23" style="71" customWidth="1"/>
    <col min="12" max="12" width="23.69921875" style="71" customWidth="1"/>
    <col min="13" max="13" width="21.59765625" style="71" customWidth="1"/>
    <col min="14" max="14" width="23.8984375" style="71" customWidth="1"/>
    <col min="15" max="21" width="8.8984375" style="65"/>
    <col min="22" max="22" width="21.69921875" style="65" bestFit="1" customWidth="1"/>
    <col min="23" max="16384" width="8.8984375" style="65"/>
  </cols>
  <sheetData>
    <row r="1" spans="1:14" ht="28" x14ac:dyDescent="0.5">
      <c r="A1" s="107"/>
      <c r="B1" s="108" t="s">
        <v>203</v>
      </c>
      <c r="C1" s="107"/>
      <c r="D1" s="107"/>
      <c r="E1" s="107"/>
      <c r="F1" s="109" t="s">
        <v>204</v>
      </c>
      <c r="G1" s="109" t="s">
        <v>205</v>
      </c>
      <c r="H1" s="109" t="s">
        <v>206</v>
      </c>
      <c r="K1" s="79" t="s">
        <v>337</v>
      </c>
      <c r="L1" s="10"/>
      <c r="M1" s="10"/>
      <c r="N1" s="10"/>
    </row>
    <row r="2" spans="1:14" x14ac:dyDescent="0.3">
      <c r="A2" s="71">
        <v>1</v>
      </c>
      <c r="B2" s="72" t="s">
        <v>191</v>
      </c>
      <c r="C2" s="72" t="s">
        <v>190</v>
      </c>
      <c r="D2" s="72" t="s">
        <v>189</v>
      </c>
      <c r="E2" s="72" t="s">
        <v>188</v>
      </c>
      <c r="F2" s="101"/>
      <c r="G2" s="74"/>
      <c r="H2" s="101"/>
      <c r="K2" s="3" t="s">
        <v>8</v>
      </c>
      <c r="L2" s="3" t="s">
        <v>11</v>
      </c>
      <c r="M2" s="3" t="s">
        <v>9</v>
      </c>
      <c r="N2" s="3" t="s">
        <v>10</v>
      </c>
    </row>
    <row r="3" spans="1:14" x14ac:dyDescent="0.3">
      <c r="A3" s="71">
        <v>1</v>
      </c>
      <c r="B3" s="66" t="s">
        <v>181</v>
      </c>
      <c r="C3" s="66" t="s">
        <v>169</v>
      </c>
      <c r="D3" s="66">
        <v>40</v>
      </c>
      <c r="E3" s="67">
        <v>6</v>
      </c>
      <c r="F3" s="102">
        <f>IF(C3="Anders","Neem contact op met VBS",IF(C3&lt;&gt;"",(_xlfn.XLOOKUP(C3,kengetallen_materialen!A$22:A$40,kengetallen_materialen!B$22:B$40))*D3*E3,""))</f>
        <v>175.77464788732394</v>
      </c>
      <c r="G3" s="75">
        <f>IF(C3&lt;&gt;"",(_xlfn.XLOOKUP(B3,kengetallen_materialen!A$16:E$16,kengetallen_materialen!A$17:E$17))*D3*E3,"")</f>
        <v>602.67284069715106</v>
      </c>
      <c r="H3" s="104">
        <f>IF(C3="Anders","Neem contact op met VBS",IF(B3&lt;&gt;"",G3-F3,""))</f>
        <v>426.89819280982715</v>
      </c>
      <c r="J3" s="125" t="str">
        <f t="shared" ref="J3:J5" si="0">IF(B3="Isolatieglas", "Vervanging na 15 jaar","")</f>
        <v/>
      </c>
      <c r="K3" s="5" t="s">
        <v>251</v>
      </c>
      <c r="L3" s="5" t="s">
        <v>253</v>
      </c>
      <c r="M3" s="5" t="s">
        <v>252</v>
      </c>
      <c r="N3" s="5" t="s">
        <v>252</v>
      </c>
    </row>
    <row r="4" spans="1:14" x14ac:dyDescent="0.3">
      <c r="A4" s="71">
        <v>1</v>
      </c>
      <c r="B4" s="66" t="s">
        <v>182</v>
      </c>
      <c r="C4" s="66" t="s">
        <v>320</v>
      </c>
      <c r="D4" s="66">
        <v>48</v>
      </c>
      <c r="E4" s="67">
        <v>4</v>
      </c>
      <c r="F4" s="102">
        <f>IF(C4="Anders","Neem contact op met VBS",IF(C4&lt;&gt;"",(_xlfn.XLOOKUP(C4,kengetallen_materialen!A$22:A$40,kengetallen_materialen!B$22:B$40))*D4*E4,""))</f>
        <v>31.459599359999999</v>
      </c>
      <c r="G4" s="75">
        <f>IF(C4&lt;&gt;"",(_xlfn.XLOOKUP(B4,kengetallen_materialen!A$16:E$16,kengetallen_materialen!A$17:E$17))*D4*E4,"")</f>
        <v>418.56000000000006</v>
      </c>
      <c r="H4" s="104">
        <f t="shared" ref="H4:H11" si="1">IF(C4="Anders","Neem contact op met VBS",IF(B4&lt;&gt;"",G4-F4,""))</f>
        <v>387.10040064000009</v>
      </c>
      <c r="J4" s="125" t="str">
        <f t="shared" si="0"/>
        <v/>
      </c>
      <c r="K4" s="110">
        <v>0</v>
      </c>
      <c r="L4" s="110">
        <v>0</v>
      </c>
      <c r="M4" s="110">
        <v>3000</v>
      </c>
      <c r="N4" s="110">
        <v>4000</v>
      </c>
    </row>
    <row r="5" spans="1:14" x14ac:dyDescent="0.3">
      <c r="A5" s="71">
        <v>1</v>
      </c>
      <c r="B5" s="66" t="s">
        <v>180</v>
      </c>
      <c r="C5" s="66" t="s">
        <v>164</v>
      </c>
      <c r="D5" s="66">
        <v>40</v>
      </c>
      <c r="E5" s="67">
        <v>3.5</v>
      </c>
      <c r="F5" s="102">
        <f>IF(C5="Anders","Neem contact op met VBS",IF(C5&lt;&gt;"",(_xlfn.XLOOKUP(C5,kengetallen_materialen!A$22:A$40,kengetallen_materialen!B$22:B$40))*D5*E5,""))</f>
        <v>281.60919540229884</v>
      </c>
      <c r="G5" s="75">
        <f>IF(C5&lt;&gt;"",(_xlfn.XLOOKUP(B5,kengetallen_materialen!A$16:E$16,kengetallen_materialen!A$17:E$17))*D5*E5,"")</f>
        <v>351.5591570733381</v>
      </c>
      <c r="H5" s="104">
        <f t="shared" si="1"/>
        <v>69.949961671039262</v>
      </c>
      <c r="J5" s="125" t="str">
        <f t="shared" si="0"/>
        <v/>
      </c>
      <c r="K5" s="112" t="s">
        <v>375</v>
      </c>
    </row>
    <row r="6" spans="1:14" x14ac:dyDescent="0.3">
      <c r="A6" s="71">
        <v>1</v>
      </c>
      <c r="B6" s="66" t="s">
        <v>179</v>
      </c>
      <c r="C6" s="66" t="s">
        <v>138</v>
      </c>
      <c r="D6" s="66">
        <v>20</v>
      </c>
      <c r="E6" s="67">
        <f>1/0.4</f>
        <v>2.5</v>
      </c>
      <c r="F6" s="102">
        <f>IF(C6="Anders","Neem contact op met VBS",IF(C6&lt;&gt;"",(_xlfn.XLOOKUP(C6,kengetallen_materialen!A$22:A$40,kengetallen_materialen!B$22:B$40))*D6*E6,""))</f>
        <v>2618</v>
      </c>
      <c r="G6" s="75">
        <f>IF(C6&lt;&gt;"",(_xlfn.XLOOKUP(B6,kengetallen_materialen!A$16:E$16,kengetallen_materialen!A$17:E$17))*D6*E6,"")</f>
        <v>5190.0422245108148</v>
      </c>
      <c r="H6" s="104">
        <f t="shared" si="1"/>
        <v>2572.0422245108148</v>
      </c>
      <c r="J6" s="125" t="str">
        <f>IF(B6="Isolatieglas", "Vervanging na 15 jaar","")</f>
        <v>Vervanging na 15 jaar</v>
      </c>
      <c r="K6" s="112" t="s">
        <v>384</v>
      </c>
    </row>
    <row r="7" spans="1:14" x14ac:dyDescent="0.3">
      <c r="A7" s="71">
        <v>1</v>
      </c>
      <c r="B7" s="66" t="s">
        <v>135</v>
      </c>
      <c r="C7" s="66" t="s">
        <v>221</v>
      </c>
      <c r="D7" s="66">
        <v>20</v>
      </c>
      <c r="E7" s="67">
        <f>1/2.4</f>
        <v>0.41666666666666669</v>
      </c>
      <c r="F7" s="102">
        <f>IF(C7="Anders","Neem contact op met VBS",IF(C7&lt;&gt;"",(_xlfn.XLOOKUP(C7,kengetallen_materialen!A$22:A$40,kengetallen_materialen!B$22:B$40))*D7*E7,""))</f>
        <v>471.74999999999994</v>
      </c>
      <c r="G7" s="75">
        <f>IF(C7&lt;&gt;"",(_xlfn.XLOOKUP(B7,kengetallen_materialen!A$16:E$16,kengetallen_materialen!A$17:E$17))*D7*E7,"")</f>
        <v>-697.63079999999991</v>
      </c>
      <c r="H7" s="104">
        <f t="shared" si="1"/>
        <v>-1169.3807999999999</v>
      </c>
      <c r="J7" s="125" t="str">
        <f t="shared" ref="J7:J11" si="2">IF(B7="Isolatieglas", "Vervanging na 15 jaar","")</f>
        <v/>
      </c>
    </row>
    <row r="8" spans="1:14" x14ac:dyDescent="0.3">
      <c r="A8" s="71">
        <v>1</v>
      </c>
      <c r="B8" s="66"/>
      <c r="C8" s="66"/>
      <c r="D8" s="66"/>
      <c r="E8" s="67"/>
      <c r="F8" s="102" t="str">
        <f>IF(C8="Anders","Neem contact op met VBS",IF(C8&lt;&gt;"",(_xlfn.XLOOKUP(C8,kengetallen_materialen!A$22:A$40,kengetallen_materialen!B$22:B$40))*D8*E8,""))</f>
        <v/>
      </c>
      <c r="G8" s="75" t="str">
        <f>IF(C8&lt;&gt;"",(_xlfn.XLOOKUP(B8,kengetallen_materialen!A$16:E$16,kengetallen_materialen!A$17:E$17))*D8*E8,"")</f>
        <v/>
      </c>
      <c r="H8" s="104" t="str">
        <f t="shared" si="1"/>
        <v/>
      </c>
      <c r="J8" s="125" t="str">
        <f t="shared" si="2"/>
        <v/>
      </c>
      <c r="N8" s="111"/>
    </row>
    <row r="9" spans="1:14" x14ac:dyDescent="0.3">
      <c r="A9" s="71">
        <v>1</v>
      </c>
      <c r="B9" s="66"/>
      <c r="C9" s="66"/>
      <c r="D9" s="66"/>
      <c r="E9" s="67"/>
      <c r="F9" s="102" t="str">
        <f>IF(C9="Anders","Neem contact op met VBS",IF(C9&lt;&gt;"",(_xlfn.XLOOKUP(C9,kengetallen_materialen!A$22:A$40,kengetallen_materialen!B$22:B$40))*D9*E9,""))</f>
        <v/>
      </c>
      <c r="G9" s="77" t="str">
        <f>IF(C9&lt;&gt;"",(_xlfn.XLOOKUP(B9,kengetallen_materialen!A$16:E$16,kengetallen_materialen!A$17:E$17))*D9*E9,"")</f>
        <v/>
      </c>
      <c r="H9" s="104" t="str">
        <f t="shared" si="1"/>
        <v/>
      </c>
      <c r="J9" s="125" t="str">
        <f t="shared" si="2"/>
        <v/>
      </c>
    </row>
    <row r="10" spans="1:14" x14ac:dyDescent="0.3">
      <c r="A10" s="71">
        <v>1</v>
      </c>
      <c r="B10" s="66"/>
      <c r="C10" s="66"/>
      <c r="D10" s="66"/>
      <c r="E10" s="67"/>
      <c r="F10" s="102" t="str">
        <f>IF(C10="Anders","Neem contact op met VBS",IF(C10&lt;&gt;"",(_xlfn.XLOOKUP(C10,kengetallen_materialen!A$22:A$40,kengetallen_materialen!B$22:B$40))*D10*E10,""))</f>
        <v/>
      </c>
      <c r="G10" s="77" t="str">
        <f>IF(C10&lt;&gt;"",(_xlfn.XLOOKUP(B10,kengetallen_materialen!A$16:E$16,kengetallen_materialen!A$17:E$17))*D10*E10,"")</f>
        <v/>
      </c>
      <c r="H10" s="104" t="str">
        <f t="shared" si="1"/>
        <v/>
      </c>
      <c r="J10" s="125" t="str">
        <f t="shared" si="2"/>
        <v/>
      </c>
    </row>
    <row r="11" spans="1:14" x14ac:dyDescent="0.3">
      <c r="A11" s="71">
        <v>1</v>
      </c>
      <c r="B11" s="66"/>
      <c r="C11" s="66"/>
      <c r="D11" s="66"/>
      <c r="E11" s="67"/>
      <c r="F11" s="102" t="str">
        <f>IF(C11="Anders","Neem contact op met VBS",IF(C11&lt;&gt;"",(_xlfn.XLOOKUP(C11,kengetallen_materialen!A$22:A$40,kengetallen_materialen!B$22:B$40))*D11*E11,""))</f>
        <v/>
      </c>
      <c r="G11" s="77" t="str">
        <f>IF(C11&lt;&gt;"",(_xlfn.XLOOKUP(B11,kengetallen_materialen!A$16:E$16,kengetallen_materialen!A$17:E$17))*D11*E11,"")</f>
        <v/>
      </c>
      <c r="H11" s="104" t="str">
        <f t="shared" si="1"/>
        <v/>
      </c>
      <c r="J11" s="125" t="str">
        <f t="shared" si="2"/>
        <v/>
      </c>
    </row>
    <row r="12" spans="1:14" x14ac:dyDescent="0.3">
      <c r="A12" s="71">
        <v>1</v>
      </c>
      <c r="B12" s="72" t="s">
        <v>177</v>
      </c>
      <c r="C12" s="72" t="s">
        <v>187</v>
      </c>
    </row>
    <row r="13" spans="1:14" x14ac:dyDescent="0.3">
      <c r="A13" s="71">
        <v>1</v>
      </c>
      <c r="B13" s="66" t="s">
        <v>112</v>
      </c>
      <c r="C13" s="66">
        <v>1</v>
      </c>
      <c r="F13" s="104">
        <f>IF(B13&lt;&gt;"",(_xlfn.XLOOKUP(B13,kengetallen_materialen!A$93:A$95,kengetallen_materialen!B$93:B$95))*2,"")</f>
        <v>674</v>
      </c>
      <c r="G13" s="76">
        <f>IF(B13&lt;&gt;"",kengetallen_materialen!$B$96*2*C13,"")</f>
        <v>529.61111111111109</v>
      </c>
      <c r="H13" s="104">
        <f>IF(B13&lt;&gt;"",G13-F13,"")</f>
        <v>-144.38888888888891</v>
      </c>
      <c r="J13" s="125" t="str">
        <f>IF(B13&lt;&gt;"",(_xlfn.XLOOKUP(B13,kengetallen_materialen!A$93:A$95,kengetallen_materialen!F$93:F$95)),"")</f>
        <v>Vervanging na 15 jaar</v>
      </c>
    </row>
    <row r="14" spans="1:14" x14ac:dyDescent="0.3">
      <c r="A14" s="71">
        <v>1</v>
      </c>
      <c r="B14" s="66"/>
      <c r="C14" s="66"/>
      <c r="F14" s="104" t="str">
        <f>IF(B14&lt;&gt;"",(_xlfn.XLOOKUP(B14,kengetallen_materialen!A$93:A$95,kengetallen_materialen!B$93:B$95))*2,"")</f>
        <v/>
      </c>
      <c r="G14" s="76"/>
      <c r="H14" s="104" t="str">
        <f>IF(B14&lt;&gt;"",G14-F14,"")</f>
        <v/>
      </c>
      <c r="J14" s="125" t="str">
        <f>IF(B14&lt;&gt;"",(_xlfn.XLOOKUP(B14,kengetallen_materialen!A$93:A$95,kengetallen_materialen!F$93:F$95)),"")</f>
        <v/>
      </c>
    </row>
    <row r="15" spans="1:14" x14ac:dyDescent="0.3">
      <c r="A15" s="71">
        <v>1</v>
      </c>
      <c r="B15" s="66"/>
      <c r="C15" s="66"/>
      <c r="F15" s="104" t="str">
        <f>IF(B15&lt;&gt;"",(_xlfn.XLOOKUP(B15,kengetallen_materialen!A$93:A$95,kengetallen_materialen!B$93:B$95))*2,"")</f>
        <v/>
      </c>
      <c r="G15" s="76"/>
      <c r="H15" s="104" t="str">
        <f>IF(B15&lt;&gt;"",G15-F15,"")</f>
        <v/>
      </c>
      <c r="J15" s="125" t="str">
        <f>IF(B15&lt;&gt;"",(_xlfn.XLOOKUP(B15,kengetallen_materialen!A$93:A$95,kengetallen_materialen!F$93:F$95)),"")</f>
        <v/>
      </c>
    </row>
    <row r="16" spans="1:14" ht="39" x14ac:dyDescent="0.3">
      <c r="A16" s="71">
        <v>1</v>
      </c>
      <c r="B16" s="72" t="s">
        <v>178</v>
      </c>
      <c r="C16" s="72" t="s">
        <v>161</v>
      </c>
      <c r="D16" s="72" t="s">
        <v>186</v>
      </c>
      <c r="E16" s="73" t="s">
        <v>185</v>
      </c>
    </row>
    <row r="17" spans="1:14" x14ac:dyDescent="0.3">
      <c r="A17" s="71">
        <v>1</v>
      </c>
      <c r="B17" s="66" t="s">
        <v>174</v>
      </c>
      <c r="C17" s="66" t="s">
        <v>154</v>
      </c>
      <c r="D17" s="66">
        <v>100</v>
      </c>
      <c r="E17" s="66">
        <v>1</v>
      </c>
      <c r="F17" s="104">
        <f>IF(B17&lt;&gt;"",((_xlfn.XLOOKUP(C17,kengetallen_materialen!A$60:A$69,kengetallen_materialen!B$60:B$69))*2*E17)+kengetallen_materialen!B$71*(D17-E17),"")</f>
        <v>202.96999999999997</v>
      </c>
      <c r="G17" s="76">
        <f>IF(B17&lt;&gt;"",IF(B17="Gasketel",F17,kengetallen_materialen!E$112),"")</f>
        <v>485.63</v>
      </c>
      <c r="H17" s="104">
        <f>IF(B17&lt;&gt;"",G17-F17,"")</f>
        <v>282.66000000000003</v>
      </c>
      <c r="J17" s="125" t="str">
        <f>IF(B17&lt;&gt;"","Vervanging na 15 jaar","")</f>
        <v>Vervanging na 15 jaar</v>
      </c>
      <c r="K17" s="111"/>
    </row>
    <row r="18" spans="1:14" x14ac:dyDescent="0.3">
      <c r="A18" s="71">
        <v>1</v>
      </c>
      <c r="B18" s="66"/>
      <c r="C18" s="66"/>
      <c r="D18" s="66"/>
      <c r="E18" s="66"/>
      <c r="F18" s="104" t="str">
        <f>IF(B18&lt;&gt;"",((_xlfn.XLOOKUP(C18,kengetallen_materialen!A$60:A$69,kengetallen_materialen!B$60:B$69))*2*E18)+kengetallen_materialen!B$71*(D18-E18),"")</f>
        <v/>
      </c>
      <c r="G18" s="76" t="str">
        <f>IF(B18&lt;&gt;"",kengetallen_materialen!E$112,"")</f>
        <v/>
      </c>
      <c r="H18" s="104" t="str">
        <f>IF(B18&lt;&gt;"",G18-F18,"")</f>
        <v/>
      </c>
      <c r="J18" s="125" t="str">
        <f>IF(B18&lt;&gt;"","Vervanging na 15 jaar","")</f>
        <v/>
      </c>
      <c r="K18" s="111"/>
    </row>
    <row r="19" spans="1:14" x14ac:dyDescent="0.3">
      <c r="A19" s="71">
        <v>1</v>
      </c>
      <c r="B19" s="66"/>
      <c r="C19" s="66"/>
      <c r="D19" s="66"/>
      <c r="E19" s="66"/>
      <c r="F19" s="104" t="str">
        <f>IF(B19&lt;&gt;"",((_xlfn.XLOOKUP(C19,kengetallen_materialen!A$60:A$69,kengetallen_materialen!B$60:B$69))*2*E19)+kengetallen_materialen!B$71*(D19-E19),"")</f>
        <v/>
      </c>
      <c r="G19" s="76" t="str">
        <f>IF(B19&lt;&gt;"",kengetallen_materialen!E$112,"")</f>
        <v/>
      </c>
      <c r="H19" s="104" t="str">
        <f>IF(B19&lt;&gt;"",G19-F19,"")</f>
        <v/>
      </c>
      <c r="J19" s="125" t="str">
        <f>IF(B19&lt;&gt;"","Vervanging na 15 jaar","")</f>
        <v/>
      </c>
    </row>
    <row r="20" spans="1:14" x14ac:dyDescent="0.3">
      <c r="A20" s="71">
        <v>1</v>
      </c>
      <c r="B20" s="72" t="s">
        <v>108</v>
      </c>
      <c r="C20" s="72" t="s">
        <v>184</v>
      </c>
    </row>
    <row r="21" spans="1:14" x14ac:dyDescent="0.3">
      <c r="A21" s="71">
        <v>1</v>
      </c>
      <c r="B21" s="66" t="s">
        <v>100</v>
      </c>
      <c r="C21" s="68">
        <v>5000</v>
      </c>
      <c r="F21" s="104">
        <f>IF(B21&lt;&gt;0,VLOOKUP(B21,kengetallen_materialen!$A$100:$B$104,2)*C21/1000,"")</f>
        <v>4554.8489666136729</v>
      </c>
      <c r="G21" s="76">
        <f>IF(B21&lt;&gt;0,IF(B21=kengetallen_materialen!$A$104,kengetallen_materialen!B$104*C21/1000,kengetallen_materialen!B$105*C21/1000),"")</f>
        <v>4248.6112409987845</v>
      </c>
      <c r="H21" s="104">
        <f>IF(B21&lt;&gt;0,G21-F21,"")</f>
        <v>-306.2377256148884</v>
      </c>
      <c r="J21" s="125" t="str">
        <f>IF(B21="Standaard omvormer","Vervanging na 15 jaar","")</f>
        <v/>
      </c>
    </row>
    <row r="22" spans="1:14" x14ac:dyDescent="0.3">
      <c r="A22" s="71">
        <v>1</v>
      </c>
      <c r="B22" s="66" t="s">
        <v>98</v>
      </c>
      <c r="C22" s="68">
        <v>5000</v>
      </c>
      <c r="F22" s="104">
        <f>IF(B22&lt;&gt;0,VLOOKUP(B22,kengetallen_materialen!$A$100:$B$104,2)*C22/1000,"")</f>
        <v>944</v>
      </c>
      <c r="G22" s="76">
        <f>IF(B22&lt;&gt;0,IF(B22=kengetallen_materialen!$A$104,kengetallen_materialen!B$104*C22/1000,kengetallen_materialen!B$105*C22/1000),"")</f>
        <v>944</v>
      </c>
      <c r="H22" s="104">
        <f>IF(B22&lt;&gt;0,G22-F22,"")</f>
        <v>0</v>
      </c>
      <c r="J22" s="125" t="str">
        <f>IF(B22="Standaard omvormer","Vervanging na 15 jaar","")</f>
        <v>Vervanging na 15 jaar</v>
      </c>
    </row>
    <row r="23" spans="1:14" x14ac:dyDescent="0.3">
      <c r="A23" s="71">
        <v>1</v>
      </c>
      <c r="B23" s="66"/>
      <c r="C23" s="68"/>
      <c r="F23" s="104" t="str">
        <f>IF(B23&lt;&gt;0,VLOOKUP(B23,kengetallen_materialen!$A$100:$B$104,2)*C23/1000,"")</f>
        <v/>
      </c>
      <c r="G23" s="76" t="str">
        <f>IF(B23&lt;&gt;0,IF(B23=kengetallen_materialen!$A$104,kengetallen_materialen!B$104*C23/1000,kengetallen_materialen!B$105*C23/1000),"")</f>
        <v/>
      </c>
      <c r="H23" s="104" t="str">
        <f>IF(B23&lt;&gt;0,G23-F23,"")</f>
        <v/>
      </c>
      <c r="J23" s="125" t="str">
        <f>IF(B23="Standaard omvormer","Vervanging na 15 jaar","")</f>
        <v/>
      </c>
    </row>
    <row r="24" spans="1:14" ht="28" x14ac:dyDescent="0.5">
      <c r="A24" s="107"/>
      <c r="B24" s="108" t="s">
        <v>207</v>
      </c>
      <c r="C24" s="107"/>
      <c r="D24" s="107"/>
      <c r="E24" s="107"/>
      <c r="F24" s="109" t="s">
        <v>204</v>
      </c>
      <c r="G24" s="109" t="s">
        <v>205</v>
      </c>
      <c r="H24" s="109" t="s">
        <v>206</v>
      </c>
      <c r="K24" s="79" t="s">
        <v>337</v>
      </c>
      <c r="L24" s="10"/>
      <c r="M24" s="10"/>
      <c r="N24" s="10"/>
    </row>
    <row r="25" spans="1:14" x14ac:dyDescent="0.3">
      <c r="A25" s="71">
        <v>2</v>
      </c>
      <c r="B25" s="72" t="s">
        <v>191</v>
      </c>
      <c r="C25" s="72" t="s">
        <v>190</v>
      </c>
      <c r="D25" s="72" t="s">
        <v>189</v>
      </c>
      <c r="E25" s="72" t="s">
        <v>188</v>
      </c>
      <c r="F25" s="101"/>
      <c r="G25" s="74"/>
      <c r="H25" s="101"/>
      <c r="K25" s="3" t="s">
        <v>8</v>
      </c>
      <c r="L25" s="3" t="s">
        <v>11</v>
      </c>
      <c r="M25" s="3" t="s">
        <v>9</v>
      </c>
      <c r="N25" s="3" t="s">
        <v>10</v>
      </c>
    </row>
    <row r="26" spans="1:14" x14ac:dyDescent="0.3">
      <c r="A26" s="71">
        <v>2</v>
      </c>
      <c r="B26" s="66" t="s">
        <v>181</v>
      </c>
      <c r="C26" s="66" t="s">
        <v>169</v>
      </c>
      <c r="D26" s="66">
        <v>40</v>
      </c>
      <c r="E26" s="67">
        <v>6</v>
      </c>
      <c r="F26" s="102">
        <f>IF(C26="Anders","Neem contact op met VBS",IF(C26&lt;&gt;"",(_xlfn.XLOOKUP(C26,kengetallen_materialen!A$22:A$40,kengetallen_materialen!B$22:B$40))*D26*E26,""))</f>
        <v>175.77464788732394</v>
      </c>
      <c r="G26" s="75">
        <f>IF(C26&lt;&gt;"",(_xlfn.XLOOKUP(B26,kengetallen_materialen!A$16:E$16,kengetallen_materialen!A$17:E$17))*D26*E26,"")</f>
        <v>602.67284069715106</v>
      </c>
      <c r="H26" s="104">
        <f t="shared" ref="H26:H34" si="3">IF(C26="Anders","Neem contact op met VBS",IF(B26&lt;&gt;"",G26-F26,""))</f>
        <v>426.89819280982715</v>
      </c>
      <c r="J26" s="125" t="str">
        <f t="shared" ref="J26:J34" si="4">IF(B26="Isolatieglas", "Vervanging na 15 jaar","")</f>
        <v/>
      </c>
      <c r="K26" s="5" t="s">
        <v>251</v>
      </c>
      <c r="L26" s="5" t="s">
        <v>253</v>
      </c>
      <c r="M26" s="5" t="s">
        <v>252</v>
      </c>
      <c r="N26" s="5" t="s">
        <v>252</v>
      </c>
    </row>
    <row r="27" spans="1:14" x14ac:dyDescent="0.3">
      <c r="A27" s="71">
        <v>2</v>
      </c>
      <c r="B27" s="66" t="s">
        <v>182</v>
      </c>
      <c r="C27" s="66" t="s">
        <v>171</v>
      </c>
      <c r="D27" s="66">
        <v>48</v>
      </c>
      <c r="E27" s="67">
        <v>4</v>
      </c>
      <c r="F27" s="102">
        <f>IF(C27="Anders","Neem contact op met VBS",IF(C27&lt;&gt;"",(_xlfn.XLOOKUP(C27,kengetallen_materialen!A$22:A$40,kengetallen_materialen!B$22:B$40))*D27*E27,""))</f>
        <v>224.45070422535215</v>
      </c>
      <c r="G27" s="75">
        <f>IF(C27&lt;&gt;"",(_xlfn.XLOOKUP(B27,kengetallen_materialen!A$16:E$16,kengetallen_materialen!A$17:E$17))*D27*E27,"")</f>
        <v>418.56000000000006</v>
      </c>
      <c r="H27" s="104">
        <f t="shared" si="3"/>
        <v>194.1092957746479</v>
      </c>
      <c r="J27" s="125" t="str">
        <f t="shared" si="4"/>
        <v/>
      </c>
      <c r="K27" s="110">
        <v>0</v>
      </c>
      <c r="L27" s="110">
        <v>0</v>
      </c>
      <c r="M27" s="110">
        <v>0</v>
      </c>
      <c r="N27" s="110">
        <v>0</v>
      </c>
    </row>
    <row r="28" spans="1:14" x14ac:dyDescent="0.3">
      <c r="A28" s="71">
        <v>2</v>
      </c>
      <c r="B28" s="66" t="s">
        <v>180</v>
      </c>
      <c r="C28" s="66" t="s">
        <v>224</v>
      </c>
      <c r="D28" s="66">
        <v>40</v>
      </c>
      <c r="E28" s="67">
        <v>3.5</v>
      </c>
      <c r="F28" s="102">
        <f>IF(C28="Anders","Neem contact op met VBS",IF(C28&lt;&gt;"",(_xlfn.XLOOKUP(C28,kengetallen_materialen!A$22:A$40,kengetallen_materialen!B$22:B$40))*D28*E28,""))</f>
        <v>49.599999999999994</v>
      </c>
      <c r="G28" s="75">
        <f>IF(C28&lt;&gt;"",(_xlfn.XLOOKUP(B28,kengetallen_materialen!A$16:E$16,kengetallen_materialen!A$17:E$17))*D28*E28,"")</f>
        <v>351.5591570733381</v>
      </c>
      <c r="H28" s="104">
        <f t="shared" si="3"/>
        <v>301.95915707333813</v>
      </c>
      <c r="J28" s="125" t="str">
        <f t="shared" si="4"/>
        <v/>
      </c>
      <c r="K28" s="112" t="s">
        <v>339</v>
      </c>
    </row>
    <row r="29" spans="1:14" x14ac:dyDescent="0.3">
      <c r="A29" s="71">
        <v>2</v>
      </c>
      <c r="B29" s="66" t="s">
        <v>179</v>
      </c>
      <c r="C29" s="66" t="s">
        <v>138</v>
      </c>
      <c r="D29" s="66">
        <v>20</v>
      </c>
      <c r="E29" s="67">
        <f>1/0.4</f>
        <v>2.5</v>
      </c>
      <c r="F29" s="102">
        <f>IF(C29="Anders","Neem contact op met VBS",IF(C29&lt;&gt;"",(_xlfn.XLOOKUP(C29,kengetallen_materialen!A$22:A$40,kengetallen_materialen!B$22:B$40))*D29*E29,""))</f>
        <v>2618</v>
      </c>
      <c r="G29" s="75">
        <f>IF(C29&lt;&gt;"",(_xlfn.XLOOKUP(B29,kengetallen_materialen!A$16:E$16,kengetallen_materialen!A$17:E$17))*D29*E29,"")</f>
        <v>5190.0422245108148</v>
      </c>
      <c r="H29" s="104">
        <f t="shared" si="3"/>
        <v>2572.0422245108148</v>
      </c>
      <c r="J29" s="125" t="str">
        <f t="shared" si="4"/>
        <v>Vervanging na 15 jaar</v>
      </c>
      <c r="K29" s="112" t="s">
        <v>384</v>
      </c>
    </row>
    <row r="30" spans="1:14" x14ac:dyDescent="0.3">
      <c r="A30" s="71">
        <v>2</v>
      </c>
      <c r="B30" s="66" t="s">
        <v>135</v>
      </c>
      <c r="C30" s="66" t="s">
        <v>128</v>
      </c>
      <c r="D30" s="66">
        <v>20</v>
      </c>
      <c r="E30" s="67">
        <f>1/2.4</f>
        <v>0.41666666666666669</v>
      </c>
      <c r="F30" s="102">
        <f>IF(C30="Anders","Neem contact op met VBS",IF(C30&lt;&gt;"",(_xlfn.XLOOKUP(C30,kengetallen_materialen!A$22:A$40,kengetallen_materialen!B$22:B$40))*D30*E30,""))</f>
        <v>-3370.08</v>
      </c>
      <c r="G30" s="75">
        <f>IF(C30&lt;&gt;"",(_xlfn.XLOOKUP(B30,kengetallen_materialen!A$16:E$16,kengetallen_materialen!A$17:E$17))*D30*E30,"")</f>
        <v>-697.63079999999991</v>
      </c>
      <c r="H30" s="104">
        <f t="shared" si="3"/>
        <v>2672.4492</v>
      </c>
      <c r="J30" s="125" t="str">
        <f t="shared" si="4"/>
        <v/>
      </c>
    </row>
    <row r="31" spans="1:14" x14ac:dyDescent="0.3">
      <c r="A31" s="71">
        <v>2</v>
      </c>
      <c r="B31" s="66"/>
      <c r="C31" s="66"/>
      <c r="D31" s="66"/>
      <c r="E31" s="67"/>
      <c r="F31" s="102" t="str">
        <f>IF(C31="Anders","Neem contact op met VBS",IF(C31&lt;&gt;"",(_xlfn.XLOOKUP(C31,kengetallen_materialen!A$22:A$40,kengetallen_materialen!B$22:B$40))*D31*E31,""))</f>
        <v/>
      </c>
      <c r="G31" s="75" t="str">
        <f>IF(C31&lt;&gt;"",(_xlfn.XLOOKUP(B31,kengetallen_materialen!A$16:E$16,kengetallen_materialen!A$17:E$17))*D31*E31,"")</f>
        <v/>
      </c>
      <c r="H31" s="104" t="str">
        <f t="shared" si="3"/>
        <v/>
      </c>
      <c r="J31" s="125" t="str">
        <f t="shared" si="4"/>
        <v/>
      </c>
    </row>
    <row r="32" spans="1:14" x14ac:dyDescent="0.3">
      <c r="A32" s="71">
        <v>2</v>
      </c>
      <c r="B32" s="66"/>
      <c r="C32" s="66"/>
      <c r="D32" s="66"/>
      <c r="E32" s="67"/>
      <c r="F32" s="102" t="str">
        <f>IF(C32="Anders","Neem contact op met VBS",IF(C32&lt;&gt;"",(_xlfn.XLOOKUP(C32,kengetallen_materialen!A$22:A$40,kengetallen_materialen!B$22:B$40))*D32*E32,""))</f>
        <v/>
      </c>
      <c r="G32" s="75" t="str">
        <f>IF(C32&lt;&gt;"",(_xlfn.XLOOKUP(B32,kengetallen_materialen!A$16:E$16,kengetallen_materialen!A$17:E$17))*D32*E32,"")</f>
        <v/>
      </c>
      <c r="H32" s="104" t="str">
        <f t="shared" si="3"/>
        <v/>
      </c>
      <c r="J32" s="125" t="str">
        <f t="shared" si="4"/>
        <v/>
      </c>
    </row>
    <row r="33" spans="1:14" x14ac:dyDescent="0.3">
      <c r="A33" s="71">
        <v>2</v>
      </c>
      <c r="B33" s="66"/>
      <c r="C33" s="66"/>
      <c r="D33" s="66"/>
      <c r="E33" s="67"/>
      <c r="F33" s="102" t="str">
        <f>IF(C33="Anders","Neem contact op met VBS",IF(C33&lt;&gt;"",(_xlfn.XLOOKUP(C33,kengetallen_materialen!A$22:A$40,kengetallen_materialen!B$22:B$40))*D33*E33,""))</f>
        <v/>
      </c>
      <c r="G33" s="75" t="str">
        <f>IF(C33&lt;&gt;"",(_xlfn.XLOOKUP(B33,kengetallen_materialen!A$16:E$16,kengetallen_materialen!A$17:E$17))*D33*E33,"")</f>
        <v/>
      </c>
      <c r="H33" s="104" t="str">
        <f t="shared" si="3"/>
        <v/>
      </c>
      <c r="J33" s="125" t="str">
        <f t="shared" si="4"/>
        <v/>
      </c>
    </row>
    <row r="34" spans="1:14" x14ac:dyDescent="0.3">
      <c r="A34" s="71">
        <v>2</v>
      </c>
      <c r="B34" s="66"/>
      <c r="C34" s="66"/>
      <c r="D34" s="66"/>
      <c r="E34" s="67"/>
      <c r="F34" s="102" t="str">
        <f>IF(C34="Anders","Neem contact op met VBS",IF(C34&lt;&gt;"",(_xlfn.XLOOKUP(C34,kengetallen_materialen!A$22:A$40,kengetallen_materialen!B$22:B$40))*D34*E34,""))</f>
        <v/>
      </c>
      <c r="G34" s="75" t="str">
        <f>IF(C34&lt;&gt;"",(_xlfn.XLOOKUP(B34,kengetallen_materialen!A$16:E$16,kengetallen_materialen!A$17:E$17))*D34*E34,"")</f>
        <v/>
      </c>
      <c r="H34" s="104" t="str">
        <f t="shared" si="3"/>
        <v/>
      </c>
      <c r="J34" s="125" t="str">
        <f t="shared" si="4"/>
        <v/>
      </c>
    </row>
    <row r="35" spans="1:14" x14ac:dyDescent="0.3">
      <c r="A35" s="71">
        <v>2</v>
      </c>
      <c r="B35" s="72" t="s">
        <v>177</v>
      </c>
      <c r="C35" s="72" t="s">
        <v>187</v>
      </c>
    </row>
    <row r="36" spans="1:14" x14ac:dyDescent="0.3">
      <c r="A36" s="71">
        <v>2</v>
      </c>
      <c r="B36" s="66" t="s">
        <v>112</v>
      </c>
      <c r="C36" s="66">
        <v>1</v>
      </c>
      <c r="F36" s="104">
        <f>IF(B36&lt;&gt;"",(_xlfn.XLOOKUP(B36,kengetallen_materialen!A$93:A$95,kengetallen_materialen!B$93:B$95))*2,"")</f>
        <v>674</v>
      </c>
      <c r="G36" s="76">
        <f>IF(B36&lt;&gt;"",kengetallen_materialen!$B$96*2*C36,"")</f>
        <v>529.61111111111109</v>
      </c>
      <c r="H36" s="104">
        <f>IF(B36&lt;&gt;"",G36-F36,"")</f>
        <v>-144.38888888888891</v>
      </c>
      <c r="J36" s="125" t="str">
        <f>IF(B36&lt;&gt;"",(_xlfn.XLOOKUP(B36,kengetallen_materialen!A$93:A$95,kengetallen_materialen!F$93:F$95)),"")</f>
        <v>Vervanging na 15 jaar</v>
      </c>
    </row>
    <row r="37" spans="1:14" x14ac:dyDescent="0.3">
      <c r="A37" s="71">
        <v>2</v>
      </c>
      <c r="B37" s="66"/>
      <c r="C37" s="66"/>
      <c r="E37" s="65" t="str">
        <f>IF(C32&lt;&gt;"",(_xlfn.XLOOKUP(B37,kengetallen_materialen!A$93:A$95,kengetallen_materialen!F$93:F$95)),"")</f>
        <v/>
      </c>
      <c r="F37" s="104" t="str">
        <f>IF(B37&lt;&gt;"",(_xlfn.XLOOKUP(B37,kengetallen_materialen!A$93:A$95,kengetallen_materialen!B$93:B$95))*2,"")</f>
        <v/>
      </c>
      <c r="G37" s="76"/>
      <c r="H37" s="104" t="str">
        <f>IF(B37&lt;&gt;"",G37-F37,"")</f>
        <v/>
      </c>
      <c r="J37" s="125" t="str">
        <f>IF(B37&lt;&gt;"",(_xlfn.XLOOKUP(B37,kengetallen_materialen!A$93:A$95,kengetallen_materialen!F$93:F$95)),"")</f>
        <v/>
      </c>
    </row>
    <row r="38" spans="1:14" x14ac:dyDescent="0.3">
      <c r="A38" s="71">
        <v>2</v>
      </c>
      <c r="B38" s="66"/>
      <c r="C38" s="66"/>
      <c r="E38" s="65" t="str">
        <f>IF(C33&lt;&gt;"",(_xlfn.XLOOKUP(B38,kengetallen_materialen!A$93:A$95,kengetallen_materialen!F$93:F$95)),"")</f>
        <v/>
      </c>
      <c r="F38" s="104" t="str">
        <f>IF(B38&lt;&gt;"",(_xlfn.XLOOKUP(B38,kengetallen_materialen!A$93:A$95,kengetallen_materialen!B$93:B$95))*2,"")</f>
        <v/>
      </c>
      <c r="G38" s="76"/>
      <c r="H38" s="104" t="str">
        <f>IF(B38&lt;&gt;"",G38-F38,"")</f>
        <v/>
      </c>
      <c r="J38" s="125" t="str">
        <f>IF(B38&lt;&gt;"",(_xlfn.XLOOKUP(B38,kengetallen_materialen!A$93:A$95,kengetallen_materialen!F$93:F$95)),"")</f>
        <v/>
      </c>
    </row>
    <row r="39" spans="1:14" ht="39" x14ac:dyDescent="0.3">
      <c r="A39" s="71">
        <v>2</v>
      </c>
      <c r="B39" s="72" t="s">
        <v>178</v>
      </c>
      <c r="C39" s="72" t="s">
        <v>161</v>
      </c>
      <c r="D39" s="72" t="s">
        <v>186</v>
      </c>
      <c r="E39" s="73" t="s">
        <v>185</v>
      </c>
    </row>
    <row r="40" spans="1:14" x14ac:dyDescent="0.3">
      <c r="A40" s="71">
        <v>2</v>
      </c>
      <c r="B40" s="66" t="s">
        <v>174</v>
      </c>
      <c r="C40" s="66" t="s">
        <v>156</v>
      </c>
      <c r="D40" s="66">
        <v>100</v>
      </c>
      <c r="E40" s="66">
        <v>1</v>
      </c>
      <c r="F40" s="104">
        <f>IF(B40&lt;&gt;"",((_xlfn.XLOOKUP(C40,kengetallen_materialen!A$60:A$69,kengetallen_materialen!B$60:B$69))*2*E40)+kengetallen_materialen!B$71*(D40-E40),"")</f>
        <v>206.96999999999997</v>
      </c>
      <c r="G40" s="76">
        <f>IF(B40&lt;&gt;"",IF(B40="Gasketel",F40,kengetallen_materialen!E$112),"")</f>
        <v>485.63</v>
      </c>
      <c r="H40" s="104">
        <f>IF(B40&lt;&gt;"",G40-F40,"")</f>
        <v>278.66000000000003</v>
      </c>
      <c r="J40" s="125" t="str">
        <f>IF(B40&lt;&gt;"","Vervanging na 15 jaar","")</f>
        <v>Vervanging na 15 jaar</v>
      </c>
    </row>
    <row r="41" spans="1:14" x14ac:dyDescent="0.3">
      <c r="A41" s="71">
        <v>2</v>
      </c>
      <c r="B41" s="66"/>
      <c r="C41" s="66"/>
      <c r="D41" s="66"/>
      <c r="E41" s="66"/>
      <c r="F41" s="104" t="str">
        <f>IF(B41&lt;&gt;"",((_xlfn.XLOOKUP(C41,kengetallen_materialen!A$60:A$69,kengetallen_materialen!B$60:B$69))*2*E41)+kengetallen_materialen!B$71*(D41-E41),"")</f>
        <v/>
      </c>
      <c r="G41" s="76" t="str">
        <f>IF(B41&lt;&gt;"",kengetallen_materialen!E$112,"")</f>
        <v/>
      </c>
      <c r="H41" s="104" t="str">
        <f>IF(B41&lt;&gt;"",G41-F41,"")</f>
        <v/>
      </c>
      <c r="J41" s="125" t="str">
        <f>IF(B41&lt;&gt;"","Vervanging na 15 jaar","")</f>
        <v/>
      </c>
    </row>
    <row r="42" spans="1:14" x14ac:dyDescent="0.3">
      <c r="A42" s="71">
        <v>2</v>
      </c>
      <c r="B42" s="66"/>
      <c r="C42" s="66"/>
      <c r="D42" s="66"/>
      <c r="E42" s="66"/>
      <c r="F42" s="104" t="str">
        <f>IF(B42&lt;&gt;"",((_xlfn.XLOOKUP(C42,kengetallen_materialen!A$60:A$69,kengetallen_materialen!B$60:B$69))*2*E42)+kengetallen_materialen!B$71*(D42-E42),"")</f>
        <v/>
      </c>
      <c r="G42" s="76" t="str">
        <f>IF(B42&lt;&gt;"",kengetallen_materialen!E$112,"")</f>
        <v/>
      </c>
      <c r="H42" s="104" t="str">
        <f>IF(B42&lt;&gt;"",G42-F42,"")</f>
        <v/>
      </c>
      <c r="J42" s="125" t="str">
        <f>IF(B42&lt;&gt;"","Vervanging na 15 jaar","")</f>
        <v/>
      </c>
    </row>
    <row r="43" spans="1:14" x14ac:dyDescent="0.3">
      <c r="A43" s="71">
        <v>2</v>
      </c>
      <c r="B43" s="72" t="s">
        <v>108</v>
      </c>
      <c r="C43" s="72" t="s">
        <v>184</v>
      </c>
    </row>
    <row r="44" spans="1:14" x14ac:dyDescent="0.3">
      <c r="A44" s="71">
        <v>2</v>
      </c>
      <c r="B44" s="66" t="s">
        <v>101</v>
      </c>
      <c r="C44" s="68">
        <v>5000</v>
      </c>
      <c r="F44" s="104">
        <f>IF(B44&lt;&gt;0,VLOOKUP(B44,kengetallen_materialen!$A$100:$B$104,2)*C44/1000,"")</f>
        <v>3275.0397456279807</v>
      </c>
      <c r="G44" s="76">
        <f>IF(B44&lt;&gt;0,IF(B44=kengetallen_materialen!$A$104,kengetallen_materialen!B$104*C44/1000,kengetallen_materialen!B$105*C44/1000),"")</f>
        <v>4248.6112409987845</v>
      </c>
      <c r="H44" s="104">
        <f>IF(B44&lt;&gt;0,G44-F44,"")</f>
        <v>973.57149537080386</v>
      </c>
      <c r="J44" s="125" t="str">
        <f>IF(B44="Standaard omvormer","Vervanging na 15 jaar","")</f>
        <v/>
      </c>
    </row>
    <row r="45" spans="1:14" x14ac:dyDescent="0.3">
      <c r="A45" s="71">
        <v>2</v>
      </c>
      <c r="B45" s="66" t="s">
        <v>98</v>
      </c>
      <c r="C45" s="68">
        <v>5000</v>
      </c>
      <c r="F45" s="104">
        <f>IF(B45&lt;&gt;0,VLOOKUP(B45,kengetallen_materialen!$A$100:$B$104,2)*C45/1000,"")</f>
        <v>944</v>
      </c>
      <c r="G45" s="76">
        <f>IF(B45&lt;&gt;0,IF(B45=kengetallen_materialen!$A$104,kengetallen_materialen!B$104*C45/1000,kengetallen_materialen!B$105*C45/1000),"")</f>
        <v>944</v>
      </c>
      <c r="H45" s="104">
        <f>IF(B45&lt;&gt;0,G45-F45,"")</f>
        <v>0</v>
      </c>
      <c r="J45" s="125" t="str">
        <f>IF(B45="Standaard omvormer","Vervanging na 15 jaar","")</f>
        <v>Vervanging na 15 jaar</v>
      </c>
    </row>
    <row r="46" spans="1:14" x14ac:dyDescent="0.3">
      <c r="A46" s="71">
        <v>2</v>
      </c>
      <c r="B46" s="66"/>
      <c r="C46" s="68"/>
      <c r="F46" s="104" t="str">
        <f>IF(B46&lt;&gt;0,VLOOKUP(B46,kengetallen_materialen!$A$100:$B$104,2)*C46/1000,"")</f>
        <v/>
      </c>
      <c r="G46" s="76" t="str">
        <f>IF(B46&lt;&gt;0,IF(B46=kengetallen_materialen!$A$104,kengetallen_materialen!B$104*C46/1000,kengetallen_materialen!B$105*C46/1000),"")</f>
        <v/>
      </c>
      <c r="H46" s="104" t="str">
        <f>IF(B46&lt;&gt;0,G46-F46,"")</f>
        <v/>
      </c>
      <c r="J46" s="125" t="str">
        <f>IF(B46="Standaard omvormer","Vervanging na 15 jaar","")</f>
        <v/>
      </c>
    </row>
    <row r="47" spans="1:14" ht="28" x14ac:dyDescent="0.5">
      <c r="A47" s="107"/>
      <c r="B47" s="108" t="s">
        <v>208</v>
      </c>
      <c r="C47" s="107"/>
      <c r="D47" s="107"/>
      <c r="E47" s="107"/>
      <c r="F47" s="109" t="s">
        <v>204</v>
      </c>
      <c r="G47" s="109" t="s">
        <v>205</v>
      </c>
      <c r="H47" s="109" t="s">
        <v>206</v>
      </c>
      <c r="K47" s="79" t="s">
        <v>337</v>
      </c>
      <c r="L47" s="10"/>
      <c r="M47" s="10"/>
      <c r="N47" s="10"/>
    </row>
    <row r="48" spans="1:14" x14ac:dyDescent="0.3">
      <c r="A48" s="71">
        <v>3</v>
      </c>
      <c r="B48" s="72" t="s">
        <v>191</v>
      </c>
      <c r="C48" s="72" t="s">
        <v>190</v>
      </c>
      <c r="D48" s="72" t="s">
        <v>189</v>
      </c>
      <c r="E48" s="72" t="s">
        <v>188</v>
      </c>
      <c r="F48" s="101"/>
      <c r="G48" s="74"/>
      <c r="H48" s="101"/>
      <c r="K48" s="3" t="s">
        <v>8</v>
      </c>
      <c r="L48" s="3" t="s">
        <v>11</v>
      </c>
      <c r="M48" s="3" t="s">
        <v>9</v>
      </c>
      <c r="N48" s="3" t="s">
        <v>10</v>
      </c>
    </row>
    <row r="49" spans="1:14" x14ac:dyDescent="0.3">
      <c r="A49" s="71">
        <v>3</v>
      </c>
      <c r="B49" s="66" t="s">
        <v>181</v>
      </c>
      <c r="C49" s="66" t="s">
        <v>169</v>
      </c>
      <c r="D49" s="66">
        <v>40</v>
      </c>
      <c r="E49" s="67">
        <v>6</v>
      </c>
      <c r="F49" s="102">
        <f>IF(C49="Anders","Neem contact op met VBS",IF(C49&lt;&gt;"",(_xlfn.XLOOKUP(C49,kengetallen_materialen!A$22:A$40,kengetallen_materialen!B$22:B$40))*D49*E49,""))</f>
        <v>175.77464788732394</v>
      </c>
      <c r="G49" s="75">
        <f>IF(C49&lt;&gt;"",(_xlfn.XLOOKUP(B49,kengetallen_materialen!A$16:E$16,kengetallen_materialen!A$17:E$17))*D49*E49,"")</f>
        <v>602.67284069715106</v>
      </c>
      <c r="H49" s="104">
        <f t="shared" ref="H49:H57" si="5">IF(C49="Anders","Neem contact op met VBS",IF(B49&lt;&gt;"",G49-F49,""))</f>
        <v>426.89819280982715</v>
      </c>
      <c r="J49" s="125" t="str">
        <f t="shared" ref="J49:J57" si="6">IF(B49="Isolatieglas", "Vervanging na 15 jaar","")</f>
        <v/>
      </c>
      <c r="K49" s="5" t="s">
        <v>251</v>
      </c>
      <c r="L49" s="5" t="s">
        <v>253</v>
      </c>
      <c r="M49" s="5" t="s">
        <v>252</v>
      </c>
      <c r="N49" s="5" t="s">
        <v>252</v>
      </c>
    </row>
    <row r="50" spans="1:14" x14ac:dyDescent="0.3">
      <c r="A50" s="71">
        <v>3</v>
      </c>
      <c r="B50" s="66" t="s">
        <v>182</v>
      </c>
      <c r="C50" s="66" t="s">
        <v>171</v>
      </c>
      <c r="D50" s="66">
        <v>48</v>
      </c>
      <c r="E50" s="67">
        <v>4</v>
      </c>
      <c r="F50" s="102">
        <f>IF(C50="Anders","Neem contact op met VBS",IF(C50&lt;&gt;"",(_xlfn.XLOOKUP(C50,kengetallen_materialen!A$22:A$40,kengetallen_materialen!B$22:B$40))*D50*E50,""))</f>
        <v>224.45070422535215</v>
      </c>
      <c r="G50" s="75">
        <f>IF(C50&lt;&gt;"",(_xlfn.XLOOKUP(B50,kengetallen_materialen!A$16:E$16,kengetallen_materialen!A$17:E$17))*D50*E50,"")</f>
        <v>418.56000000000006</v>
      </c>
      <c r="H50" s="104">
        <f t="shared" si="5"/>
        <v>194.1092957746479</v>
      </c>
      <c r="J50" s="125" t="str">
        <f t="shared" si="6"/>
        <v/>
      </c>
      <c r="K50" s="110">
        <v>0</v>
      </c>
      <c r="L50" s="110">
        <v>0</v>
      </c>
      <c r="M50" s="110">
        <v>0</v>
      </c>
      <c r="N50" s="110">
        <v>0</v>
      </c>
    </row>
    <row r="51" spans="1:14" x14ac:dyDescent="0.3">
      <c r="A51" s="71">
        <v>3</v>
      </c>
      <c r="B51" s="66" t="s">
        <v>180</v>
      </c>
      <c r="C51" s="66" t="s">
        <v>224</v>
      </c>
      <c r="D51" s="66">
        <v>40</v>
      </c>
      <c r="E51" s="67">
        <v>3.5</v>
      </c>
      <c r="F51" s="102">
        <f>IF(C51="Anders","Neem contact op met VBS",IF(C51&lt;&gt;"",(_xlfn.XLOOKUP(C51,kengetallen_materialen!A$22:A$40,kengetallen_materialen!B$22:B$40))*D51*E51,""))</f>
        <v>49.599999999999994</v>
      </c>
      <c r="G51" s="75">
        <f>IF(C51&lt;&gt;"",(_xlfn.XLOOKUP(B51,kengetallen_materialen!A$16:E$16,kengetallen_materialen!A$17:E$17))*D51*E51,"")</f>
        <v>351.5591570733381</v>
      </c>
      <c r="H51" s="104">
        <f t="shared" si="5"/>
        <v>301.95915707333813</v>
      </c>
      <c r="J51" s="125" t="str">
        <f t="shared" si="6"/>
        <v/>
      </c>
      <c r="K51" s="112" t="s">
        <v>339</v>
      </c>
    </row>
    <row r="52" spans="1:14" x14ac:dyDescent="0.3">
      <c r="A52" s="71">
        <v>3</v>
      </c>
      <c r="B52" s="66" t="s">
        <v>179</v>
      </c>
      <c r="C52" s="66" t="s">
        <v>138</v>
      </c>
      <c r="D52" s="66">
        <v>20</v>
      </c>
      <c r="E52" s="67">
        <f>1/0.4</f>
        <v>2.5</v>
      </c>
      <c r="F52" s="102">
        <f>IF(C52="Anders","Neem contact op met VBS",IF(C52&lt;&gt;"",(_xlfn.XLOOKUP(C52,kengetallen_materialen!A$22:A$40,kengetallen_materialen!B$22:B$40))*D52*E52,""))</f>
        <v>2618</v>
      </c>
      <c r="G52" s="75">
        <f>IF(C52&lt;&gt;"",(_xlfn.XLOOKUP(B52,kengetallen_materialen!A$16:E$16,kengetallen_materialen!A$17:E$17))*D52*E52,"")</f>
        <v>5190.0422245108148</v>
      </c>
      <c r="H52" s="104">
        <f t="shared" si="5"/>
        <v>2572.0422245108148</v>
      </c>
      <c r="J52" s="125" t="str">
        <f t="shared" si="6"/>
        <v>Vervanging na 15 jaar</v>
      </c>
      <c r="K52" s="112" t="s">
        <v>384</v>
      </c>
    </row>
    <row r="53" spans="1:14" x14ac:dyDescent="0.3">
      <c r="A53" s="71">
        <v>3</v>
      </c>
      <c r="B53" s="66" t="s">
        <v>135</v>
      </c>
      <c r="C53" s="66" t="s">
        <v>128</v>
      </c>
      <c r="D53" s="66">
        <v>20</v>
      </c>
      <c r="E53" s="67">
        <f>1/2.4</f>
        <v>0.41666666666666669</v>
      </c>
      <c r="F53" s="102">
        <f>IF(C53="Anders","Neem contact op met VBS",IF(C53&lt;&gt;"",(_xlfn.XLOOKUP(C53,kengetallen_materialen!A$22:A$40,kengetallen_materialen!B$22:B$40))*D53*E53,""))</f>
        <v>-3370.08</v>
      </c>
      <c r="G53" s="75">
        <f>IF(C53&lt;&gt;"",(_xlfn.XLOOKUP(B53,kengetallen_materialen!A$16:E$16,kengetallen_materialen!A$17:E$17))*D53*E53,"")</f>
        <v>-697.63079999999991</v>
      </c>
      <c r="H53" s="104">
        <f t="shared" si="5"/>
        <v>2672.4492</v>
      </c>
      <c r="J53" s="125" t="str">
        <f t="shared" si="6"/>
        <v/>
      </c>
    </row>
    <row r="54" spans="1:14" x14ac:dyDescent="0.3">
      <c r="A54" s="71">
        <v>3</v>
      </c>
      <c r="B54" s="66"/>
      <c r="C54" s="66"/>
      <c r="D54" s="66"/>
      <c r="E54" s="67"/>
      <c r="F54" s="102" t="str">
        <f>IF(C54="Anders","Neem contact op met VBS",IF(C54&lt;&gt;"",(_xlfn.XLOOKUP(C54,kengetallen_materialen!A$22:A$40,kengetallen_materialen!B$22:B$40))*D54*E54,""))</f>
        <v/>
      </c>
      <c r="G54" s="75" t="str">
        <f>IF(C54&lt;&gt;"",(_xlfn.XLOOKUP(B54,kengetallen_materialen!A$16:E$16,kengetallen_materialen!A$17:E$17))*D54*E54,"")</f>
        <v/>
      </c>
      <c r="H54" s="104" t="str">
        <f t="shared" si="5"/>
        <v/>
      </c>
      <c r="J54" s="125" t="str">
        <f t="shared" si="6"/>
        <v/>
      </c>
    </row>
    <row r="55" spans="1:14" x14ac:dyDescent="0.3">
      <c r="A55" s="71">
        <v>3</v>
      </c>
      <c r="B55" s="66"/>
      <c r="C55" s="66"/>
      <c r="D55" s="66"/>
      <c r="E55" s="67"/>
      <c r="F55" s="102" t="str">
        <f>IF(C55="Anders","Neem contact op met VBS",IF(C55&lt;&gt;"",(_xlfn.XLOOKUP(C55,kengetallen_materialen!A$22:A$40,kengetallen_materialen!B$22:B$40))*D55*E55,""))</f>
        <v/>
      </c>
      <c r="G55" s="75" t="str">
        <f>IF(C55&lt;&gt;"",(_xlfn.XLOOKUP(B55,kengetallen_materialen!A$16:E$16,kengetallen_materialen!A$17:E$17))*D55*E55,"")</f>
        <v/>
      </c>
      <c r="H55" s="104" t="str">
        <f t="shared" si="5"/>
        <v/>
      </c>
      <c r="J55" s="125" t="str">
        <f t="shared" si="6"/>
        <v/>
      </c>
    </row>
    <row r="56" spans="1:14" x14ac:dyDescent="0.3">
      <c r="A56" s="71">
        <v>3</v>
      </c>
      <c r="B56" s="66"/>
      <c r="C56" s="66"/>
      <c r="D56" s="66"/>
      <c r="E56" s="67"/>
      <c r="F56" s="102" t="str">
        <f>IF(C56="Anders","Neem contact op met VBS",IF(C56&lt;&gt;"",(_xlfn.XLOOKUP(C56,kengetallen_materialen!A$22:A$40,kengetallen_materialen!B$22:B$40))*D56*E56,""))</f>
        <v/>
      </c>
      <c r="G56" s="75" t="str">
        <f>IF(C56&lt;&gt;"",(_xlfn.XLOOKUP(B56,kengetallen_materialen!A$16:E$16,kengetallen_materialen!A$17:E$17))*D56*E56,"")</f>
        <v/>
      </c>
      <c r="H56" s="104" t="str">
        <f t="shared" si="5"/>
        <v/>
      </c>
      <c r="J56" s="125" t="str">
        <f t="shared" si="6"/>
        <v/>
      </c>
    </row>
    <row r="57" spans="1:14" x14ac:dyDescent="0.3">
      <c r="A57" s="71">
        <v>3</v>
      </c>
      <c r="B57" s="66"/>
      <c r="C57" s="66"/>
      <c r="D57" s="66"/>
      <c r="E57" s="67"/>
      <c r="F57" s="102" t="str">
        <f>IF(C57="Anders","Neem contact op met VBS",IF(C57&lt;&gt;"",(_xlfn.XLOOKUP(C57,kengetallen_materialen!A$22:A$40,kengetallen_materialen!B$22:B$40))*D57*E57,""))</f>
        <v/>
      </c>
      <c r="G57" s="75" t="str">
        <f>IF(C57&lt;&gt;"",(_xlfn.XLOOKUP(B57,kengetallen_materialen!A$16:E$16,kengetallen_materialen!A$17:E$17))*D57*E57,"")</f>
        <v/>
      </c>
      <c r="H57" s="104" t="str">
        <f t="shared" si="5"/>
        <v/>
      </c>
      <c r="J57" s="125" t="str">
        <f t="shared" si="6"/>
        <v/>
      </c>
    </row>
    <row r="58" spans="1:14" x14ac:dyDescent="0.3">
      <c r="A58" s="71">
        <v>3</v>
      </c>
      <c r="B58" s="72" t="s">
        <v>177</v>
      </c>
      <c r="C58" s="72" t="s">
        <v>187</v>
      </c>
    </row>
    <row r="59" spans="1:14" x14ac:dyDescent="0.3">
      <c r="A59" s="71">
        <v>3</v>
      </c>
      <c r="B59" s="66" t="s">
        <v>112</v>
      </c>
      <c r="C59" s="66">
        <v>1</v>
      </c>
      <c r="F59" s="104">
        <f>IF(B59&lt;&gt;"",(_xlfn.XLOOKUP(B59,kengetallen_materialen!A$93:A$95,kengetallen_materialen!B$93:B$95))*2,"")</f>
        <v>674</v>
      </c>
      <c r="G59" s="76">
        <f>IF(B59&lt;&gt;"",kengetallen_materialen!$B$96*2*C59,"")</f>
        <v>529.61111111111109</v>
      </c>
      <c r="H59" s="104">
        <f>IF(B59&lt;&gt;"",G59-F59,"")</f>
        <v>-144.38888888888891</v>
      </c>
      <c r="J59" s="125" t="str">
        <f>IF(B59&lt;&gt;"",(_xlfn.XLOOKUP(B59,kengetallen_materialen!A$93:A$95,kengetallen_materialen!F$93:F$95)),"")</f>
        <v>Vervanging na 15 jaar</v>
      </c>
    </row>
    <row r="60" spans="1:14" x14ac:dyDescent="0.3">
      <c r="A60" s="71">
        <v>3</v>
      </c>
      <c r="B60" s="66"/>
      <c r="C60" s="66"/>
      <c r="E60" s="65" t="str">
        <f>IF(C55&lt;&gt;"",(_xlfn.XLOOKUP(B60,kengetallen_materialen!A$93:A$95,kengetallen_materialen!F$93:F$95)),"")</f>
        <v/>
      </c>
      <c r="F60" s="104" t="str">
        <f>IF(B60&lt;&gt;"",(_xlfn.XLOOKUP(B60,kengetallen_materialen!A$93:A$95,kengetallen_materialen!B$93:B$95))*2,"")</f>
        <v/>
      </c>
      <c r="G60" s="76"/>
      <c r="H60" s="104" t="str">
        <f>IF(B60&lt;&gt;"",G60-F60,"")</f>
        <v/>
      </c>
      <c r="J60" s="125" t="str">
        <f>IF(B60&lt;&gt;"",(_xlfn.XLOOKUP(B60,kengetallen_materialen!A$93:A$95,kengetallen_materialen!F$93:F$95)),"")</f>
        <v/>
      </c>
    </row>
    <row r="61" spans="1:14" x14ac:dyDescent="0.3">
      <c r="A61" s="71">
        <v>3</v>
      </c>
      <c r="B61" s="66"/>
      <c r="C61" s="66"/>
      <c r="E61" s="65" t="str">
        <f>IF(C56&lt;&gt;"",(_xlfn.XLOOKUP(B61,kengetallen_materialen!A$93:A$95,kengetallen_materialen!F$93:F$95)),"")</f>
        <v/>
      </c>
      <c r="F61" s="104" t="str">
        <f>IF(B61&lt;&gt;"",(_xlfn.XLOOKUP(B61,kengetallen_materialen!A$93:A$95,kengetallen_materialen!B$93:B$95))*2,"")</f>
        <v/>
      </c>
      <c r="G61" s="76"/>
      <c r="H61" s="104" t="str">
        <f>IF(B61&lt;&gt;"",G61-F61,"")</f>
        <v/>
      </c>
      <c r="J61" s="125" t="str">
        <f>IF(B61&lt;&gt;"",(_xlfn.XLOOKUP(B61,kengetallen_materialen!A$93:A$95,kengetallen_materialen!F$93:F$95)),"")</f>
        <v/>
      </c>
    </row>
    <row r="62" spans="1:14" ht="39" x14ac:dyDescent="0.3">
      <c r="A62" s="71">
        <v>3</v>
      </c>
      <c r="B62" s="72" t="s">
        <v>178</v>
      </c>
      <c r="C62" s="72" t="s">
        <v>161</v>
      </c>
      <c r="D62" s="72" t="s">
        <v>186</v>
      </c>
      <c r="E62" s="73" t="s">
        <v>185</v>
      </c>
    </row>
    <row r="63" spans="1:14" x14ac:dyDescent="0.3">
      <c r="A63" s="71">
        <v>3</v>
      </c>
      <c r="B63" s="66" t="s">
        <v>174</v>
      </c>
      <c r="C63" s="66" t="s">
        <v>157</v>
      </c>
      <c r="D63" s="66">
        <v>100</v>
      </c>
      <c r="E63" s="66">
        <v>1</v>
      </c>
      <c r="F63" s="104">
        <f>IF(B63&lt;&gt;"",((_xlfn.XLOOKUP(C63,kengetallen_materialen!A$60:A$69,kengetallen_materialen!B$60:B$69))*2*E63)+kengetallen_materialen!B$71*(D63-E63),"")</f>
        <v>2800.97</v>
      </c>
      <c r="G63" s="76">
        <f>IF(B63&lt;&gt;"",IF(B63="Gasketel",F63,kengetallen_materialen!E$112),"")</f>
        <v>485.63</v>
      </c>
      <c r="H63" s="104">
        <f>IF(B63&lt;&gt;"",G63-F63,"")</f>
        <v>-2315.3399999999997</v>
      </c>
      <c r="J63" s="125" t="str">
        <f>IF(B63&lt;&gt;"","Vervanging na 15 jaar","")</f>
        <v>Vervanging na 15 jaar</v>
      </c>
    </row>
    <row r="64" spans="1:14" x14ac:dyDescent="0.3">
      <c r="A64" s="71">
        <v>3</v>
      </c>
      <c r="B64" s="66"/>
      <c r="C64" s="66"/>
      <c r="D64" s="66"/>
      <c r="E64" s="66"/>
      <c r="F64" s="104" t="str">
        <f>IF(B64&lt;&gt;"",((_xlfn.XLOOKUP(C64,kengetallen_materialen!A$60:A$69,kengetallen_materialen!B$60:B$69))*2*E64)+kengetallen_materialen!B$71*(D64-E64),"")</f>
        <v/>
      </c>
      <c r="G64" s="76" t="str">
        <f>IF(B64&lt;&gt;"",kengetallen_materialen!E$112,"")</f>
        <v/>
      </c>
      <c r="H64" s="104" t="str">
        <f>IF(B64&lt;&gt;"",G64-F64,"")</f>
        <v/>
      </c>
      <c r="J64" s="125" t="str">
        <f>IF(B64&lt;&gt;"","Vervanging na 15 jaar","")</f>
        <v/>
      </c>
    </row>
    <row r="65" spans="1:14" x14ac:dyDescent="0.3">
      <c r="A65" s="71">
        <v>3</v>
      </c>
      <c r="B65" s="66"/>
      <c r="C65" s="66"/>
      <c r="D65" s="66"/>
      <c r="E65" s="66"/>
      <c r="F65" s="104" t="str">
        <f>IF(B65&lt;&gt;"",((_xlfn.XLOOKUP(C65,kengetallen_materialen!A$60:A$69,kengetallen_materialen!B$60:B$69))*2*E65)+kengetallen_materialen!B$71*(D65-E65),"")</f>
        <v/>
      </c>
      <c r="G65" s="76" t="str">
        <f>IF(B65&lt;&gt;"",kengetallen_materialen!E$112,"")</f>
        <v/>
      </c>
      <c r="H65" s="104" t="str">
        <f>IF(B65&lt;&gt;"",G65-F65,"")</f>
        <v/>
      </c>
      <c r="J65" s="125" t="str">
        <f>IF(B65&lt;&gt;"","Vervanging na 15 jaar","")</f>
        <v/>
      </c>
    </row>
    <row r="66" spans="1:14" x14ac:dyDescent="0.3">
      <c r="A66" s="71">
        <v>3</v>
      </c>
      <c r="B66" s="72" t="s">
        <v>108</v>
      </c>
      <c r="C66" s="72" t="s">
        <v>184</v>
      </c>
    </row>
    <row r="67" spans="1:14" x14ac:dyDescent="0.3">
      <c r="A67" s="71">
        <v>3</v>
      </c>
      <c r="B67" s="66" t="s">
        <v>101</v>
      </c>
      <c r="C67" s="68">
        <v>5000</v>
      </c>
      <c r="F67" s="104">
        <f>IF(B67&lt;&gt;0,VLOOKUP(B67,kengetallen_materialen!$A$100:$B$104,2)*C67/1000,"")</f>
        <v>3275.0397456279807</v>
      </c>
      <c r="G67" s="76">
        <f>IF(B67&lt;&gt;0,IF(B67=kengetallen_materialen!$A$104,kengetallen_materialen!B$104*C67/1000,kengetallen_materialen!B$105*C67/1000),"")</f>
        <v>4248.6112409987845</v>
      </c>
      <c r="H67" s="104">
        <f>IF(B67&lt;&gt;0,G67-F67,"")</f>
        <v>973.57149537080386</v>
      </c>
      <c r="J67" s="125" t="str">
        <f>IF(B67="Standaard omvormer","Vervanging na 15 jaar","")</f>
        <v/>
      </c>
    </row>
    <row r="68" spans="1:14" x14ac:dyDescent="0.3">
      <c r="A68" s="71">
        <v>3</v>
      </c>
      <c r="B68" s="66" t="s">
        <v>98</v>
      </c>
      <c r="C68" s="68">
        <v>5000</v>
      </c>
      <c r="F68" s="104">
        <f>IF(B68&lt;&gt;0,VLOOKUP(B68,kengetallen_materialen!$A$100:$B$104,2)*C68/1000,"")</f>
        <v>944</v>
      </c>
      <c r="G68" s="76">
        <f>IF(B68&lt;&gt;0,IF(B68=kengetallen_materialen!$A$104,kengetallen_materialen!B$104*C68/1000,kengetallen_materialen!B$105*C68/1000),"")</f>
        <v>944</v>
      </c>
      <c r="H68" s="104">
        <f>IF(B68&lt;&gt;0,G68-F68,"")</f>
        <v>0</v>
      </c>
      <c r="J68" s="125" t="str">
        <f>IF(B68="Standaard omvormer","Vervanging na 15 jaar","")</f>
        <v>Vervanging na 15 jaar</v>
      </c>
    </row>
    <row r="69" spans="1:14" x14ac:dyDescent="0.3">
      <c r="A69" s="71">
        <v>3</v>
      </c>
      <c r="B69" s="66"/>
      <c r="C69" s="68"/>
      <c r="F69" s="104" t="str">
        <f>IF(B69&lt;&gt;0,VLOOKUP(B69,kengetallen_materialen!$A$100:$B$104,2)*C69/1000,"")</f>
        <v/>
      </c>
      <c r="G69" s="76" t="str">
        <f>IF(B69&lt;&gt;0,IF(B69=kengetallen_materialen!$A$104,kengetallen_materialen!B$104*C69/1000,kengetallen_materialen!B$105*C69/1000),"")</f>
        <v/>
      </c>
      <c r="H69" s="104" t="str">
        <f>IF(B69&lt;&gt;0,G69-F69,"")</f>
        <v/>
      </c>
      <c r="J69" s="125" t="str">
        <f>IF(B69="Standaard omvormer","Vervanging na 15 jaar","")</f>
        <v/>
      </c>
    </row>
    <row r="70" spans="1:14" ht="28" x14ac:dyDescent="0.5">
      <c r="A70" s="107"/>
      <c r="B70" s="108" t="s">
        <v>209</v>
      </c>
      <c r="C70" s="107"/>
      <c r="D70" s="107"/>
      <c r="E70" s="107"/>
      <c r="F70" s="109" t="s">
        <v>204</v>
      </c>
      <c r="G70" s="109" t="s">
        <v>205</v>
      </c>
      <c r="H70" s="109" t="s">
        <v>206</v>
      </c>
      <c r="K70" s="79" t="s">
        <v>337</v>
      </c>
      <c r="L70" s="10"/>
      <c r="M70" s="10"/>
      <c r="N70" s="10"/>
    </row>
    <row r="71" spans="1:14" x14ac:dyDescent="0.3">
      <c r="A71" s="71">
        <v>4</v>
      </c>
      <c r="B71" s="72" t="s">
        <v>191</v>
      </c>
      <c r="C71" s="72" t="s">
        <v>190</v>
      </c>
      <c r="D71" s="72" t="s">
        <v>189</v>
      </c>
      <c r="E71" s="72" t="s">
        <v>188</v>
      </c>
      <c r="F71" s="101"/>
      <c r="G71" s="74"/>
      <c r="H71" s="101"/>
      <c r="K71" s="3" t="s">
        <v>8</v>
      </c>
      <c r="L71" s="3" t="s">
        <v>11</v>
      </c>
      <c r="M71" s="3" t="s">
        <v>9</v>
      </c>
      <c r="N71" s="3" t="s">
        <v>10</v>
      </c>
    </row>
    <row r="72" spans="1:14" x14ac:dyDescent="0.3">
      <c r="A72" s="71">
        <v>4</v>
      </c>
      <c r="B72" s="66" t="s">
        <v>181</v>
      </c>
      <c r="C72" s="66" t="s">
        <v>169</v>
      </c>
      <c r="D72" s="66">
        <v>40</v>
      </c>
      <c r="E72" s="67">
        <v>6</v>
      </c>
      <c r="F72" s="102">
        <f>IF(C72="Anders","Neem contact op met VBS",IF(C72&lt;&gt;"",(_xlfn.XLOOKUP(C72,kengetallen_materialen!A$22:A$40,kengetallen_materialen!B$22:B$40))*D72*E72,""))</f>
        <v>175.77464788732394</v>
      </c>
      <c r="G72" s="75">
        <f>IF(C72&lt;&gt;"",(_xlfn.XLOOKUP(B72,kengetallen_materialen!A$16:E$16,kengetallen_materialen!A$17:E$17))*D72*E72,"")</f>
        <v>602.67284069715106</v>
      </c>
      <c r="H72" s="104">
        <f t="shared" ref="H72:H80" si="7">IF(C72="Anders","Neem contact op met VBS",IF(B72&lt;&gt;"",G72-F72,""))</f>
        <v>426.89819280982715</v>
      </c>
      <c r="J72" s="125" t="str">
        <f t="shared" ref="J72:J80" si="8">IF(B72="Isolatieglas", "Vervanging na 15 jaar","")</f>
        <v/>
      </c>
      <c r="K72" s="5" t="s">
        <v>251</v>
      </c>
      <c r="L72" s="5" t="s">
        <v>253</v>
      </c>
      <c r="M72" s="5" t="s">
        <v>252</v>
      </c>
      <c r="N72" s="5" t="s">
        <v>252</v>
      </c>
    </row>
    <row r="73" spans="1:14" x14ac:dyDescent="0.3">
      <c r="A73" s="71">
        <v>4</v>
      </c>
      <c r="B73" s="66" t="s">
        <v>182</v>
      </c>
      <c r="C73" s="66" t="s">
        <v>171</v>
      </c>
      <c r="D73" s="66">
        <v>48</v>
      </c>
      <c r="E73" s="67">
        <v>4</v>
      </c>
      <c r="F73" s="102">
        <f>IF(C73="Anders","Neem contact op met VBS",IF(C73&lt;&gt;"",(_xlfn.XLOOKUP(C73,kengetallen_materialen!A$22:A$40,kengetallen_materialen!B$22:B$40))*D73*E73,""))</f>
        <v>224.45070422535215</v>
      </c>
      <c r="G73" s="75">
        <f>IF(C73&lt;&gt;"",(_xlfn.XLOOKUP(B73,kengetallen_materialen!A$16:E$16,kengetallen_materialen!A$17:E$17))*D73*E73,"")</f>
        <v>418.56000000000006</v>
      </c>
      <c r="H73" s="104">
        <f t="shared" si="7"/>
        <v>194.1092957746479</v>
      </c>
      <c r="J73" s="125" t="str">
        <f t="shared" si="8"/>
        <v/>
      </c>
      <c r="K73" s="110">
        <v>0</v>
      </c>
      <c r="L73" s="110">
        <v>0</v>
      </c>
      <c r="M73" s="110">
        <v>0</v>
      </c>
      <c r="N73" s="110">
        <v>0</v>
      </c>
    </row>
    <row r="74" spans="1:14" x14ac:dyDescent="0.3">
      <c r="A74" s="71">
        <v>4</v>
      </c>
      <c r="B74" s="66" t="s">
        <v>180</v>
      </c>
      <c r="C74" s="66" t="s">
        <v>224</v>
      </c>
      <c r="D74" s="66">
        <v>40</v>
      </c>
      <c r="E74" s="67">
        <v>3.5</v>
      </c>
      <c r="F74" s="102">
        <f>IF(C74="Anders","Neem contact op met VBS",IF(C74&lt;&gt;"",(_xlfn.XLOOKUP(C74,kengetallen_materialen!A$22:A$40,kengetallen_materialen!B$22:B$40))*D74*E74,""))</f>
        <v>49.599999999999994</v>
      </c>
      <c r="G74" s="75">
        <f>IF(C74&lt;&gt;"",(_xlfn.XLOOKUP(B74,kengetallen_materialen!A$16:E$16,kengetallen_materialen!A$17:E$17))*D74*E74,"")</f>
        <v>351.5591570733381</v>
      </c>
      <c r="H74" s="104">
        <f t="shared" si="7"/>
        <v>301.95915707333813</v>
      </c>
      <c r="J74" s="125" t="str">
        <f t="shared" si="8"/>
        <v/>
      </c>
      <c r="K74" s="112" t="s">
        <v>339</v>
      </c>
    </row>
    <row r="75" spans="1:14" x14ac:dyDescent="0.3">
      <c r="A75" s="71">
        <v>4</v>
      </c>
      <c r="B75" s="66" t="s">
        <v>179</v>
      </c>
      <c r="C75" s="66" t="s">
        <v>138</v>
      </c>
      <c r="D75" s="66">
        <v>20</v>
      </c>
      <c r="E75" s="67">
        <f>1/0.4</f>
        <v>2.5</v>
      </c>
      <c r="F75" s="102">
        <f>IF(C75="Anders","Neem contact op met VBS",IF(C75&lt;&gt;"",(_xlfn.XLOOKUP(C75,kengetallen_materialen!A$22:A$40,kengetallen_materialen!B$22:B$40))*D75*E75,""))</f>
        <v>2618</v>
      </c>
      <c r="G75" s="75">
        <f>IF(C75&lt;&gt;"",(_xlfn.XLOOKUP(B75,kengetallen_materialen!A$16:E$16,kengetallen_materialen!A$17:E$17))*D75*E75,"")</f>
        <v>5190.0422245108148</v>
      </c>
      <c r="H75" s="104">
        <f t="shared" si="7"/>
        <v>2572.0422245108148</v>
      </c>
      <c r="J75" s="125" t="str">
        <f t="shared" si="8"/>
        <v>Vervanging na 15 jaar</v>
      </c>
      <c r="K75" s="112" t="s">
        <v>384</v>
      </c>
    </row>
    <row r="76" spans="1:14" x14ac:dyDescent="0.3">
      <c r="A76" s="71">
        <v>4</v>
      </c>
      <c r="B76" s="66" t="s">
        <v>135</v>
      </c>
      <c r="C76" s="66" t="s">
        <v>128</v>
      </c>
      <c r="D76" s="66">
        <v>20</v>
      </c>
      <c r="E76" s="67">
        <f>1/2.4</f>
        <v>0.41666666666666669</v>
      </c>
      <c r="F76" s="102">
        <f>IF(C76="Anders","Neem contact op met VBS",IF(C76&lt;&gt;"",(_xlfn.XLOOKUP(C76,kengetallen_materialen!A$22:A$40,kengetallen_materialen!B$22:B$40))*D76*E76,""))</f>
        <v>-3370.08</v>
      </c>
      <c r="G76" s="75">
        <f>IF(C76&lt;&gt;"",(_xlfn.XLOOKUP(B76,kengetallen_materialen!A$16:E$16,kengetallen_materialen!A$17:E$17))*D76*E76,"")</f>
        <v>-697.63079999999991</v>
      </c>
      <c r="H76" s="104">
        <f t="shared" si="7"/>
        <v>2672.4492</v>
      </c>
      <c r="J76" s="125" t="str">
        <f t="shared" si="8"/>
        <v/>
      </c>
    </row>
    <row r="77" spans="1:14" x14ac:dyDescent="0.3">
      <c r="A77" s="71">
        <v>4</v>
      </c>
      <c r="B77" s="66"/>
      <c r="C77" s="66"/>
      <c r="D77" s="66"/>
      <c r="E77" s="67"/>
      <c r="F77" s="102" t="str">
        <f>IF(C77="Anders","Neem contact op met VBS",IF(C77&lt;&gt;"",(_xlfn.XLOOKUP(C77,kengetallen_materialen!A$22:A$40,kengetallen_materialen!B$22:B$40))*D77*E77,""))</f>
        <v/>
      </c>
      <c r="G77" s="75" t="str">
        <f>IF(C77&lt;&gt;"",(_xlfn.XLOOKUP(B77,kengetallen_materialen!A$16:E$16,kengetallen_materialen!A$17:E$17))*D77*E77,"")</f>
        <v/>
      </c>
      <c r="H77" s="104" t="str">
        <f t="shared" si="7"/>
        <v/>
      </c>
      <c r="J77" s="125" t="str">
        <f t="shared" si="8"/>
        <v/>
      </c>
    </row>
    <row r="78" spans="1:14" x14ac:dyDescent="0.3">
      <c r="A78" s="71">
        <v>4</v>
      </c>
      <c r="B78" s="66"/>
      <c r="C78" s="66"/>
      <c r="D78" s="66"/>
      <c r="E78" s="67"/>
      <c r="F78" s="102" t="str">
        <f>IF(C78="Anders","Neem contact op met VBS",IF(C78&lt;&gt;"",(_xlfn.XLOOKUP(C78,kengetallen_materialen!A$22:A$40,kengetallen_materialen!B$22:B$40))*D78*E78,""))</f>
        <v/>
      </c>
      <c r="G78" s="75" t="str">
        <f>IF(C78&lt;&gt;"",(_xlfn.XLOOKUP(B78,kengetallen_materialen!A$16:E$16,kengetallen_materialen!A$17:E$17))*D78*E78,"")</f>
        <v/>
      </c>
      <c r="H78" s="104" t="str">
        <f t="shared" si="7"/>
        <v/>
      </c>
      <c r="J78" s="125" t="str">
        <f t="shared" si="8"/>
        <v/>
      </c>
    </row>
    <row r="79" spans="1:14" x14ac:dyDescent="0.3">
      <c r="A79" s="71">
        <v>4</v>
      </c>
      <c r="B79" s="66"/>
      <c r="C79" s="66"/>
      <c r="D79" s="66"/>
      <c r="E79" s="67"/>
      <c r="F79" s="102" t="str">
        <f>IF(C79="Anders","Neem contact op met VBS",IF(C79&lt;&gt;"",(_xlfn.XLOOKUP(C79,kengetallen_materialen!A$22:A$40,kengetallen_materialen!B$22:B$40))*D79*E79,""))</f>
        <v/>
      </c>
      <c r="G79" s="75" t="str">
        <f>IF(C79&lt;&gt;"",(_xlfn.XLOOKUP(B79,kengetallen_materialen!A$16:E$16,kengetallen_materialen!A$17:E$17))*D79*E79,"")</f>
        <v/>
      </c>
      <c r="H79" s="104" t="str">
        <f t="shared" si="7"/>
        <v/>
      </c>
      <c r="J79" s="125" t="str">
        <f t="shared" si="8"/>
        <v/>
      </c>
    </row>
    <row r="80" spans="1:14" x14ac:dyDescent="0.3">
      <c r="A80" s="71">
        <v>4</v>
      </c>
      <c r="B80" s="66"/>
      <c r="C80" s="66"/>
      <c r="D80" s="66"/>
      <c r="E80" s="67"/>
      <c r="F80" s="102" t="str">
        <f>IF(C80="Anders","Neem contact op met VBS",IF(C80&lt;&gt;"",(_xlfn.XLOOKUP(C80,kengetallen_materialen!A$22:A$40,kengetallen_materialen!B$22:B$40))*D80*E80,""))</f>
        <v/>
      </c>
      <c r="G80" s="75" t="str">
        <f>IF(C80&lt;&gt;"",(_xlfn.XLOOKUP(B80,kengetallen_materialen!A$16:E$16,kengetallen_materialen!A$17:E$17))*D80*E80,"")</f>
        <v/>
      </c>
      <c r="H80" s="104" t="str">
        <f t="shared" si="7"/>
        <v/>
      </c>
      <c r="J80" s="125" t="str">
        <f t="shared" si="8"/>
        <v/>
      </c>
    </row>
    <row r="81" spans="1:14" x14ac:dyDescent="0.3">
      <c r="A81" s="71">
        <v>4</v>
      </c>
      <c r="B81" s="72" t="s">
        <v>177</v>
      </c>
      <c r="C81" s="72" t="s">
        <v>187</v>
      </c>
    </row>
    <row r="82" spans="1:14" x14ac:dyDescent="0.3">
      <c r="A82" s="71">
        <v>4</v>
      </c>
      <c r="B82" s="66" t="s">
        <v>112</v>
      </c>
      <c r="C82" s="66">
        <v>1</v>
      </c>
      <c r="F82" s="104">
        <f>IF(B82&lt;&gt;"",(_xlfn.XLOOKUP(B82,kengetallen_materialen!A$93:A$95,kengetallen_materialen!B$93:B$95))*2,"")</f>
        <v>674</v>
      </c>
      <c r="G82" s="76">
        <f>IF(B82&lt;&gt;"",kengetallen_materialen!$B$96*2*C82,"")</f>
        <v>529.61111111111109</v>
      </c>
      <c r="H82" s="104">
        <f>IF(B82&lt;&gt;"",G82-F82,"")</f>
        <v>-144.38888888888891</v>
      </c>
      <c r="J82" s="125" t="str">
        <f>IF(B82&lt;&gt;"",(_xlfn.XLOOKUP(B82,kengetallen_materialen!A$93:A$95,kengetallen_materialen!F$93:F$95)),"")</f>
        <v>Vervanging na 15 jaar</v>
      </c>
    </row>
    <row r="83" spans="1:14" x14ac:dyDescent="0.3">
      <c r="A83" s="71">
        <v>4</v>
      </c>
      <c r="B83" s="66"/>
      <c r="C83" s="66"/>
      <c r="E83" s="65" t="str">
        <f>IF(C78&lt;&gt;"",(_xlfn.XLOOKUP(B83,kengetallen_materialen!A$93:A$95,kengetallen_materialen!F$93:F$95)),"")</f>
        <v/>
      </c>
      <c r="F83" s="104" t="str">
        <f>IF(B83&lt;&gt;"",(_xlfn.XLOOKUP(B83,kengetallen_materialen!A$93:A$95,kengetallen_materialen!B$93:B$95))*2,"")</f>
        <v/>
      </c>
      <c r="G83" s="76"/>
      <c r="H83" s="104" t="str">
        <f>IF(B83&lt;&gt;"",G83-F83,"")</f>
        <v/>
      </c>
      <c r="J83" s="125" t="str">
        <f>IF(B83&lt;&gt;"",(_xlfn.XLOOKUP(B83,kengetallen_materialen!A$93:A$95,kengetallen_materialen!F$93:F$95)),"")</f>
        <v/>
      </c>
    </row>
    <row r="84" spans="1:14" x14ac:dyDescent="0.3">
      <c r="A84" s="71">
        <v>4</v>
      </c>
      <c r="B84" s="66"/>
      <c r="C84" s="66"/>
      <c r="E84" s="65" t="str">
        <f>IF(C79&lt;&gt;"",(_xlfn.XLOOKUP(B84,kengetallen_materialen!A$93:A$95,kengetallen_materialen!F$93:F$95)),"")</f>
        <v/>
      </c>
      <c r="F84" s="104" t="str">
        <f>IF(B84&lt;&gt;"",(_xlfn.XLOOKUP(B84,kengetallen_materialen!A$93:A$95,kengetallen_materialen!B$93:B$95))*2,"")</f>
        <v/>
      </c>
      <c r="G84" s="76"/>
      <c r="H84" s="104" t="str">
        <f>IF(B84&lt;&gt;"",G84-F84,"")</f>
        <v/>
      </c>
      <c r="J84" s="125" t="str">
        <f>IF(B84&lt;&gt;"",(_xlfn.XLOOKUP(B84,kengetallen_materialen!A$93:A$95,kengetallen_materialen!F$93:F$95)),"")</f>
        <v/>
      </c>
    </row>
    <row r="85" spans="1:14" ht="39" x14ac:dyDescent="0.3">
      <c r="A85" s="71">
        <v>4</v>
      </c>
      <c r="B85" s="72" t="s">
        <v>178</v>
      </c>
      <c r="C85" s="72" t="s">
        <v>161</v>
      </c>
      <c r="D85" s="72" t="s">
        <v>186</v>
      </c>
      <c r="E85" s="73" t="s">
        <v>185</v>
      </c>
    </row>
    <row r="86" spans="1:14" x14ac:dyDescent="0.3">
      <c r="A86" s="71">
        <v>4</v>
      </c>
      <c r="B86" s="66" t="s">
        <v>174</v>
      </c>
      <c r="C86" s="66" t="s">
        <v>157</v>
      </c>
      <c r="D86" s="66">
        <v>100</v>
      </c>
      <c r="E86" s="66">
        <v>1</v>
      </c>
      <c r="F86" s="104">
        <f>IF(B86&lt;&gt;"",((_xlfn.XLOOKUP(C86,kengetallen_materialen!A$60:A$69,kengetallen_materialen!B$60:B$69))*2*E86)+kengetallen_materialen!B$71*(D86-E86),"")</f>
        <v>2800.97</v>
      </c>
      <c r="G86" s="76">
        <f>IF(B86&lt;&gt;"",IF(B86="Gasketel",F86,kengetallen_materialen!E$112),"")</f>
        <v>485.63</v>
      </c>
      <c r="H86" s="104">
        <f>IF(B86&lt;&gt;"",G86-F86,"")</f>
        <v>-2315.3399999999997</v>
      </c>
      <c r="J86" s="125" t="str">
        <f>IF(B86&lt;&gt;"","Vervanging na 15 jaar","")</f>
        <v>Vervanging na 15 jaar</v>
      </c>
    </row>
    <row r="87" spans="1:14" x14ac:dyDescent="0.3">
      <c r="A87" s="71">
        <v>4</v>
      </c>
      <c r="B87" s="66"/>
      <c r="C87" s="66"/>
      <c r="D87" s="66"/>
      <c r="E87" s="66"/>
      <c r="F87" s="104" t="str">
        <f>IF(B87&lt;&gt;"",((_xlfn.XLOOKUP(C87,kengetallen_materialen!A$60:A$69,kengetallen_materialen!B$60:B$69))*2*E87)+kengetallen_materialen!B$71*(D87-E87),"")</f>
        <v/>
      </c>
      <c r="G87" s="76" t="str">
        <f>IF(B87&lt;&gt;"",kengetallen_materialen!E$112,"")</f>
        <v/>
      </c>
      <c r="H87" s="104" t="str">
        <f>IF(B87&lt;&gt;"",G87-F87,"")</f>
        <v/>
      </c>
      <c r="J87" s="125" t="str">
        <f>IF(B87&lt;&gt;"","Vervanging na 15 jaar","")</f>
        <v/>
      </c>
    </row>
    <row r="88" spans="1:14" x14ac:dyDescent="0.3">
      <c r="A88" s="71">
        <v>4</v>
      </c>
      <c r="B88" s="66"/>
      <c r="C88" s="66"/>
      <c r="D88" s="66"/>
      <c r="E88" s="66"/>
      <c r="F88" s="104" t="str">
        <f>IF(B88&lt;&gt;"",((_xlfn.XLOOKUP(C88,kengetallen_materialen!A$60:A$69,kengetallen_materialen!B$60:B$69))*2*E88)+kengetallen_materialen!B$71*(D88-E88),"")</f>
        <v/>
      </c>
      <c r="G88" s="76" t="str">
        <f>IF(B88&lt;&gt;"",kengetallen_materialen!E$112,"")</f>
        <v/>
      </c>
      <c r="H88" s="104" t="str">
        <f>IF(B88&lt;&gt;"",G88-F88,"")</f>
        <v/>
      </c>
      <c r="J88" s="125" t="str">
        <f>IF(B88&lt;&gt;"","Vervanging na 15 jaar","")</f>
        <v/>
      </c>
    </row>
    <row r="89" spans="1:14" x14ac:dyDescent="0.3">
      <c r="A89" s="71">
        <v>4</v>
      </c>
      <c r="B89" s="72" t="s">
        <v>108</v>
      </c>
      <c r="C89" s="72" t="s">
        <v>184</v>
      </c>
    </row>
    <row r="90" spans="1:14" x14ac:dyDescent="0.3">
      <c r="A90" s="71">
        <v>4</v>
      </c>
      <c r="B90" s="66" t="s">
        <v>101</v>
      </c>
      <c r="C90" s="68">
        <v>5000</v>
      </c>
      <c r="F90" s="104">
        <f>IF(B90&lt;&gt;0,VLOOKUP(B90,kengetallen_materialen!$A$100:$B$104,2)*C90/1000,"")</f>
        <v>3275.0397456279807</v>
      </c>
      <c r="G90" s="76">
        <f>IF(B90&lt;&gt;0,IF(B90=kengetallen_materialen!$A$104,kengetallen_materialen!B$104*C90/1000,kengetallen_materialen!B$105*C90/1000),"")</f>
        <v>4248.6112409987845</v>
      </c>
      <c r="H90" s="104">
        <f>IF(B90&lt;&gt;0,G90-F90,"")</f>
        <v>973.57149537080386</v>
      </c>
      <c r="J90" s="125" t="str">
        <f>IF(B90="Standaard omvormer","Vervanging na 15 jaar","")</f>
        <v/>
      </c>
    </row>
    <row r="91" spans="1:14" x14ac:dyDescent="0.3">
      <c r="A91" s="71">
        <v>4</v>
      </c>
      <c r="B91" s="66" t="s">
        <v>98</v>
      </c>
      <c r="C91" s="68">
        <v>5000</v>
      </c>
      <c r="F91" s="104">
        <f>IF(B91&lt;&gt;0,VLOOKUP(B91,kengetallen_materialen!$A$100:$B$104,2)*C91/1000,"")</f>
        <v>944</v>
      </c>
      <c r="G91" s="76">
        <f>IF(B91&lt;&gt;0,IF(B91=kengetallen_materialen!$A$104,kengetallen_materialen!B$104*C91/1000,kengetallen_materialen!B$105*C91/1000),"")</f>
        <v>944</v>
      </c>
      <c r="H91" s="104">
        <f>IF(B91&lt;&gt;0,G91-F91,"")</f>
        <v>0</v>
      </c>
      <c r="J91" s="125" t="str">
        <f>IF(B91="Standaard omvormer","Vervanging na 15 jaar","")</f>
        <v>Vervanging na 15 jaar</v>
      </c>
    </row>
    <row r="92" spans="1:14" x14ac:dyDescent="0.3">
      <c r="A92" s="71">
        <v>4</v>
      </c>
      <c r="B92" s="66"/>
      <c r="C92" s="68"/>
      <c r="F92" s="104" t="str">
        <f>IF(B92&lt;&gt;0,VLOOKUP(B92,kengetallen_materialen!$A$100:$B$104,2)*C92/1000,"")</f>
        <v/>
      </c>
      <c r="G92" s="76" t="str">
        <f>IF(B92&lt;&gt;0,IF(B92=kengetallen_materialen!$A$104,kengetallen_materialen!B$104*C92/1000,kengetallen_materialen!B$105*C92/1000),"")</f>
        <v/>
      </c>
      <c r="H92" s="104" t="str">
        <f>IF(B92&lt;&gt;0,G92-F92,"")</f>
        <v/>
      </c>
      <c r="J92" s="125" t="str">
        <f>IF(B92="Standaard omvormer","Vervanging na 15 jaar","")</f>
        <v/>
      </c>
    </row>
    <row r="93" spans="1:14" ht="28" x14ac:dyDescent="0.5">
      <c r="A93" s="107"/>
      <c r="B93" s="108" t="s">
        <v>210</v>
      </c>
      <c r="C93" s="107"/>
      <c r="D93" s="107"/>
      <c r="E93" s="107"/>
      <c r="F93" s="109" t="s">
        <v>204</v>
      </c>
      <c r="G93" s="109" t="s">
        <v>205</v>
      </c>
      <c r="H93" s="109" t="s">
        <v>206</v>
      </c>
      <c r="K93" s="79" t="s">
        <v>337</v>
      </c>
      <c r="L93" s="10"/>
      <c r="M93" s="10"/>
      <c r="N93" s="10"/>
    </row>
    <row r="94" spans="1:14" x14ac:dyDescent="0.3">
      <c r="A94" s="71">
        <v>5</v>
      </c>
      <c r="B94" s="72" t="s">
        <v>191</v>
      </c>
      <c r="C94" s="72" t="s">
        <v>190</v>
      </c>
      <c r="D94" s="72" t="s">
        <v>189</v>
      </c>
      <c r="E94" s="72" t="s">
        <v>188</v>
      </c>
      <c r="F94" s="101"/>
      <c r="G94" s="74"/>
      <c r="H94" s="101"/>
      <c r="K94" s="3" t="s">
        <v>8</v>
      </c>
      <c r="L94" s="3" t="s">
        <v>11</v>
      </c>
      <c r="M94" s="3" t="s">
        <v>9</v>
      </c>
      <c r="N94" s="3" t="s">
        <v>10</v>
      </c>
    </row>
    <row r="95" spans="1:14" x14ac:dyDescent="0.3">
      <c r="A95" s="71">
        <v>5</v>
      </c>
      <c r="B95" s="66" t="s">
        <v>181</v>
      </c>
      <c r="C95" s="66" t="s">
        <v>169</v>
      </c>
      <c r="D95" s="66">
        <v>40</v>
      </c>
      <c r="E95" s="67">
        <v>6</v>
      </c>
      <c r="F95" s="102">
        <f>IF(C95="Anders","Neem contact op met VBS",IF(C95&lt;&gt;"",(_xlfn.XLOOKUP(C95,kengetallen_materialen!A$22:A$40,kengetallen_materialen!B$22:B$40))*D95*E95,""))</f>
        <v>175.77464788732394</v>
      </c>
      <c r="G95" s="75">
        <f>IF(C95&lt;&gt;"",(_xlfn.XLOOKUP(B95,kengetallen_materialen!A$16:E$16,kengetallen_materialen!A$17:E$17))*D95*E95,"")</f>
        <v>602.67284069715106</v>
      </c>
      <c r="H95" s="104">
        <f t="shared" ref="H95:H103" si="9">IF(C95="Anders","Neem contact op met VBS",IF(B95&lt;&gt;"",G95-F95,""))</f>
        <v>426.89819280982715</v>
      </c>
      <c r="J95" s="125" t="str">
        <f t="shared" ref="J95:J103" si="10">IF(B95="Isolatieglas", "Vervanging na 15 jaar","")</f>
        <v/>
      </c>
      <c r="K95" s="5" t="s">
        <v>251</v>
      </c>
      <c r="L95" s="5" t="s">
        <v>253</v>
      </c>
      <c r="M95" s="5" t="s">
        <v>252</v>
      </c>
      <c r="N95" s="5" t="s">
        <v>252</v>
      </c>
    </row>
    <row r="96" spans="1:14" x14ac:dyDescent="0.3">
      <c r="A96" s="71">
        <v>5</v>
      </c>
      <c r="B96" s="66" t="s">
        <v>182</v>
      </c>
      <c r="C96" s="66" t="s">
        <v>171</v>
      </c>
      <c r="D96" s="66">
        <v>48</v>
      </c>
      <c r="E96" s="67">
        <v>4</v>
      </c>
      <c r="F96" s="102">
        <f>IF(C96="Anders","Neem contact op met VBS",IF(C96&lt;&gt;"",(_xlfn.XLOOKUP(C96,kengetallen_materialen!A$22:A$40,kengetallen_materialen!B$22:B$40))*D96*E96,""))</f>
        <v>224.45070422535215</v>
      </c>
      <c r="G96" s="75">
        <f>IF(C96&lt;&gt;"",(_xlfn.XLOOKUP(B96,kengetallen_materialen!A$16:E$16,kengetallen_materialen!A$17:E$17))*D96*E96,"")</f>
        <v>418.56000000000006</v>
      </c>
      <c r="H96" s="104">
        <f t="shared" si="9"/>
        <v>194.1092957746479</v>
      </c>
      <c r="J96" s="125" t="str">
        <f t="shared" si="10"/>
        <v/>
      </c>
      <c r="K96" s="110">
        <v>0</v>
      </c>
      <c r="L96" s="110">
        <v>0</v>
      </c>
      <c r="M96" s="110">
        <v>0</v>
      </c>
      <c r="N96" s="110">
        <v>0</v>
      </c>
    </row>
    <row r="97" spans="1:11" x14ac:dyDescent="0.3">
      <c r="A97" s="71">
        <v>5</v>
      </c>
      <c r="B97" s="66" t="s">
        <v>180</v>
      </c>
      <c r="C97" s="66" t="s">
        <v>224</v>
      </c>
      <c r="D97" s="66">
        <v>40</v>
      </c>
      <c r="E97" s="67">
        <v>3.5</v>
      </c>
      <c r="F97" s="102">
        <f>IF(C97="Anders","Neem contact op met VBS",IF(C97&lt;&gt;"",(_xlfn.XLOOKUP(C97,kengetallen_materialen!A$22:A$40,kengetallen_materialen!B$22:B$40))*D97*E97,""))</f>
        <v>49.599999999999994</v>
      </c>
      <c r="G97" s="75">
        <f>IF(C97&lt;&gt;"",(_xlfn.XLOOKUP(B97,kengetallen_materialen!A$16:E$16,kengetallen_materialen!A$17:E$17))*D97*E97,"")</f>
        <v>351.5591570733381</v>
      </c>
      <c r="H97" s="104">
        <f t="shared" si="9"/>
        <v>301.95915707333813</v>
      </c>
      <c r="J97" s="125" t="str">
        <f t="shared" si="10"/>
        <v/>
      </c>
      <c r="K97" s="112" t="s">
        <v>339</v>
      </c>
    </row>
    <row r="98" spans="1:11" x14ac:dyDescent="0.3">
      <c r="A98" s="71">
        <v>5</v>
      </c>
      <c r="B98" s="66" t="s">
        <v>179</v>
      </c>
      <c r="C98" s="66" t="s">
        <v>138</v>
      </c>
      <c r="D98" s="66">
        <v>20</v>
      </c>
      <c r="E98" s="67">
        <f>1/0.4</f>
        <v>2.5</v>
      </c>
      <c r="F98" s="102">
        <f>IF(C98="Anders","Neem contact op met VBS",IF(C98&lt;&gt;"",(_xlfn.XLOOKUP(C98,kengetallen_materialen!A$22:A$40,kengetallen_materialen!B$22:B$40))*D98*E98,""))</f>
        <v>2618</v>
      </c>
      <c r="G98" s="75">
        <f>IF(C98&lt;&gt;"",(_xlfn.XLOOKUP(B98,kengetallen_materialen!A$16:E$16,kengetallen_materialen!A$17:E$17))*D98*E98,"")</f>
        <v>5190.0422245108148</v>
      </c>
      <c r="H98" s="104">
        <f t="shared" si="9"/>
        <v>2572.0422245108148</v>
      </c>
      <c r="J98" s="125" t="str">
        <f t="shared" si="10"/>
        <v>Vervanging na 15 jaar</v>
      </c>
      <c r="K98" s="112" t="s">
        <v>384</v>
      </c>
    </row>
    <row r="99" spans="1:11" x14ac:dyDescent="0.3">
      <c r="A99" s="71">
        <v>5</v>
      </c>
      <c r="B99" s="66" t="s">
        <v>135</v>
      </c>
      <c r="C99" s="66" t="s">
        <v>128</v>
      </c>
      <c r="D99" s="66">
        <v>20</v>
      </c>
      <c r="E99" s="67">
        <f>1/2.4</f>
        <v>0.41666666666666669</v>
      </c>
      <c r="F99" s="102">
        <f>IF(C99="Anders","Neem contact op met VBS",IF(C99&lt;&gt;"",(_xlfn.XLOOKUP(C99,kengetallen_materialen!A$22:A$40,kengetallen_materialen!B$22:B$40))*D99*E99,""))</f>
        <v>-3370.08</v>
      </c>
      <c r="G99" s="75">
        <f>IF(C99&lt;&gt;"",(_xlfn.XLOOKUP(B99,kengetallen_materialen!A$16:E$16,kengetallen_materialen!A$17:E$17))*D99*E99,"")</f>
        <v>-697.63079999999991</v>
      </c>
      <c r="H99" s="104">
        <f t="shared" si="9"/>
        <v>2672.4492</v>
      </c>
      <c r="J99" s="125" t="str">
        <f t="shared" si="10"/>
        <v/>
      </c>
    </row>
    <row r="100" spans="1:11" x14ac:dyDescent="0.3">
      <c r="A100" s="71">
        <v>5</v>
      </c>
      <c r="B100" s="66"/>
      <c r="C100" s="66"/>
      <c r="D100" s="66"/>
      <c r="E100" s="67"/>
      <c r="F100" s="102" t="str">
        <f>IF(C100="Anders","Neem contact op met VBS",IF(C100&lt;&gt;"",(_xlfn.XLOOKUP(C100,kengetallen_materialen!A$22:A$40,kengetallen_materialen!B$22:B$40))*D100*E100,""))</f>
        <v/>
      </c>
      <c r="G100" s="75" t="str">
        <f>IF(C100&lt;&gt;"",(_xlfn.XLOOKUP(B100,kengetallen_materialen!A$16:E$16,kengetallen_materialen!A$17:E$17))*D100*E100,"")</f>
        <v/>
      </c>
      <c r="H100" s="104" t="str">
        <f t="shared" si="9"/>
        <v/>
      </c>
      <c r="J100" s="125" t="str">
        <f t="shared" si="10"/>
        <v/>
      </c>
    </row>
    <row r="101" spans="1:11" x14ac:dyDescent="0.3">
      <c r="A101" s="71">
        <v>5</v>
      </c>
      <c r="B101" s="66"/>
      <c r="C101" s="66"/>
      <c r="D101" s="66"/>
      <c r="E101" s="67"/>
      <c r="F101" s="102" t="str">
        <f>IF(C101="Anders","Neem contact op met VBS",IF(C101&lt;&gt;"",(_xlfn.XLOOKUP(C101,kengetallen_materialen!A$22:A$40,kengetallen_materialen!B$22:B$40))*D101*E101,""))</f>
        <v/>
      </c>
      <c r="G101" s="75" t="str">
        <f>IF(C101&lt;&gt;"",(_xlfn.XLOOKUP(B101,kengetallen_materialen!A$16:E$16,kengetallen_materialen!A$17:E$17))*D101*E101,"")</f>
        <v/>
      </c>
      <c r="H101" s="104" t="str">
        <f t="shared" si="9"/>
        <v/>
      </c>
      <c r="J101" s="125" t="str">
        <f t="shared" si="10"/>
        <v/>
      </c>
    </row>
    <row r="102" spans="1:11" x14ac:dyDescent="0.3">
      <c r="A102" s="71">
        <v>5</v>
      </c>
      <c r="B102" s="66"/>
      <c r="C102" s="66"/>
      <c r="D102" s="66"/>
      <c r="E102" s="67"/>
      <c r="F102" s="102" t="str">
        <f>IF(C102="Anders","Neem contact op met VBS",IF(C102&lt;&gt;"",(_xlfn.XLOOKUP(C102,kengetallen_materialen!A$22:A$40,kengetallen_materialen!B$22:B$40))*D102*E102,""))</f>
        <v/>
      </c>
      <c r="G102" s="75" t="str">
        <f>IF(C102&lt;&gt;"",(_xlfn.XLOOKUP(B102,kengetallen_materialen!A$16:E$16,kengetallen_materialen!A$17:E$17))*D102*E102,"")</f>
        <v/>
      </c>
      <c r="H102" s="104" t="str">
        <f t="shared" si="9"/>
        <v/>
      </c>
      <c r="J102" s="125" t="str">
        <f t="shared" si="10"/>
        <v/>
      </c>
    </row>
    <row r="103" spans="1:11" x14ac:dyDescent="0.3">
      <c r="A103" s="71">
        <v>5</v>
      </c>
      <c r="B103" s="66"/>
      <c r="C103" s="66"/>
      <c r="D103" s="66"/>
      <c r="E103" s="67"/>
      <c r="F103" s="102" t="str">
        <f>IF(C103="Anders","Neem contact op met VBS",IF(C103&lt;&gt;"",(_xlfn.XLOOKUP(C103,kengetallen_materialen!A$22:A$40,kengetallen_materialen!B$22:B$40))*D103*E103,""))</f>
        <v/>
      </c>
      <c r="G103" s="75" t="str">
        <f>IF(C103&lt;&gt;"",(_xlfn.XLOOKUP(B103,kengetallen_materialen!A$16:E$16,kengetallen_materialen!A$17:E$17))*D103*E103,"")</f>
        <v/>
      </c>
      <c r="H103" s="104" t="str">
        <f t="shared" si="9"/>
        <v/>
      </c>
      <c r="J103" s="125" t="str">
        <f t="shared" si="10"/>
        <v/>
      </c>
    </row>
    <row r="104" spans="1:11" x14ac:dyDescent="0.3">
      <c r="A104" s="71">
        <v>5</v>
      </c>
      <c r="B104" s="72" t="s">
        <v>177</v>
      </c>
      <c r="C104" s="72" t="s">
        <v>187</v>
      </c>
    </row>
    <row r="105" spans="1:11" x14ac:dyDescent="0.3">
      <c r="A105" s="71">
        <v>5</v>
      </c>
      <c r="B105" s="66" t="s">
        <v>112</v>
      </c>
      <c r="C105" s="66">
        <v>1</v>
      </c>
      <c r="F105" s="104">
        <f>IF(B105&lt;&gt;"",(_xlfn.XLOOKUP(B105,kengetallen_materialen!A$93:A$95,kengetallen_materialen!B$93:B$95))*2,"")</f>
        <v>674</v>
      </c>
      <c r="G105" s="76">
        <f>IF(B105&lt;&gt;"",kengetallen_materialen!$B$96*2*C105,"")</f>
        <v>529.61111111111109</v>
      </c>
      <c r="H105" s="104">
        <f>IF(B105&lt;&gt;"",G105-F105,"")</f>
        <v>-144.38888888888891</v>
      </c>
      <c r="J105" s="125" t="str">
        <f>IF(B105&lt;&gt;"",(_xlfn.XLOOKUP(B105,kengetallen_materialen!A$93:A$95,kengetallen_materialen!F$93:F$95)),"")</f>
        <v>Vervanging na 15 jaar</v>
      </c>
    </row>
    <row r="106" spans="1:11" x14ac:dyDescent="0.3">
      <c r="A106" s="71">
        <v>5</v>
      </c>
      <c r="B106" s="66"/>
      <c r="C106" s="66"/>
      <c r="E106" s="65" t="str">
        <f>IF(C101&lt;&gt;"",(_xlfn.XLOOKUP(B106,kengetallen_materialen!A$93:A$95,kengetallen_materialen!F$93:F$95)),"")</f>
        <v/>
      </c>
      <c r="F106" s="104" t="str">
        <f>IF(B106&lt;&gt;"",(_xlfn.XLOOKUP(B106,kengetallen_materialen!A$93:A$95,kengetallen_materialen!B$93:B$95))*2,"")</f>
        <v/>
      </c>
      <c r="G106" s="76"/>
      <c r="H106" s="104" t="str">
        <f>IF(B106&lt;&gt;"",G106-F106,"")</f>
        <v/>
      </c>
      <c r="J106" s="125" t="str">
        <f>IF(B106&lt;&gt;"",(_xlfn.XLOOKUP(B106,kengetallen_materialen!A$93:A$95,kengetallen_materialen!F$93:F$95)),"")</f>
        <v/>
      </c>
    </row>
    <row r="107" spans="1:11" x14ac:dyDescent="0.3">
      <c r="A107" s="71">
        <v>5</v>
      </c>
      <c r="B107" s="66"/>
      <c r="C107" s="66"/>
      <c r="E107" s="65" t="str">
        <f>IF(C102&lt;&gt;"",(_xlfn.XLOOKUP(B107,kengetallen_materialen!A$93:A$95,kengetallen_materialen!F$93:F$95)),"")</f>
        <v/>
      </c>
      <c r="F107" s="104" t="str">
        <f>IF(B107&lt;&gt;"",(_xlfn.XLOOKUP(B107,kengetallen_materialen!A$93:A$95,kengetallen_materialen!B$93:B$95))*2,"")</f>
        <v/>
      </c>
      <c r="G107" s="76"/>
      <c r="H107" s="104" t="str">
        <f>IF(B107&lt;&gt;"",G107-F107,"")</f>
        <v/>
      </c>
      <c r="J107" s="125" t="str">
        <f>IF(B107&lt;&gt;"",(_xlfn.XLOOKUP(B107,kengetallen_materialen!A$93:A$95,kengetallen_materialen!F$93:F$95)),"")</f>
        <v/>
      </c>
    </row>
    <row r="108" spans="1:11" ht="39" x14ac:dyDescent="0.3">
      <c r="A108" s="71">
        <v>5</v>
      </c>
      <c r="B108" s="72" t="s">
        <v>178</v>
      </c>
      <c r="C108" s="72" t="s">
        <v>161</v>
      </c>
      <c r="D108" s="72" t="s">
        <v>186</v>
      </c>
      <c r="E108" s="73" t="s">
        <v>185</v>
      </c>
    </row>
    <row r="109" spans="1:11" x14ac:dyDescent="0.3">
      <c r="A109" s="71">
        <v>5</v>
      </c>
      <c r="B109" s="66" t="s">
        <v>174</v>
      </c>
      <c r="C109" s="66" t="s">
        <v>157</v>
      </c>
      <c r="D109" s="66">
        <v>100</v>
      </c>
      <c r="E109" s="66">
        <v>1</v>
      </c>
      <c r="F109" s="104">
        <f>IF(B109&lt;&gt;"",((_xlfn.XLOOKUP(C109,kengetallen_materialen!A$60:A$69,kengetallen_materialen!B$60:B$69))*2*E109)+kengetallen_materialen!B$71*(D109-E109),"")</f>
        <v>2800.97</v>
      </c>
      <c r="G109" s="76">
        <f>IF(B109&lt;&gt;"",IF(B109="Gasketel",F109,kengetallen_materialen!E$112),"")</f>
        <v>485.63</v>
      </c>
      <c r="H109" s="104">
        <f>IF(B109&lt;&gt;"",G109-F109,"")</f>
        <v>-2315.3399999999997</v>
      </c>
      <c r="J109" s="125" t="str">
        <f>IF(B109&lt;&gt;"","Vervanging na 15 jaar","")</f>
        <v>Vervanging na 15 jaar</v>
      </c>
    </row>
    <row r="110" spans="1:11" x14ac:dyDescent="0.3">
      <c r="A110" s="71">
        <v>5</v>
      </c>
      <c r="B110" s="66"/>
      <c r="C110" s="66"/>
      <c r="D110" s="66"/>
      <c r="E110" s="66"/>
      <c r="F110" s="104" t="str">
        <f>IF(B110&lt;&gt;"",((_xlfn.XLOOKUP(C110,kengetallen_materialen!A$60:A$69,kengetallen_materialen!B$60:B$69))*2*E110)+kengetallen_materialen!B$71*(D110-E110),"")</f>
        <v/>
      </c>
      <c r="G110" s="76" t="str">
        <f>IF(B110&lt;&gt;"",kengetallen_materialen!E$112,"")</f>
        <v/>
      </c>
      <c r="H110" s="104" t="str">
        <f>IF(B110&lt;&gt;"",G110-F110,"")</f>
        <v/>
      </c>
      <c r="J110" s="125" t="str">
        <f>IF(B110&lt;&gt;"","Vervanging na 15 jaar","")</f>
        <v/>
      </c>
    </row>
    <row r="111" spans="1:11" x14ac:dyDescent="0.3">
      <c r="A111" s="71">
        <v>5</v>
      </c>
      <c r="B111" s="66"/>
      <c r="C111" s="66"/>
      <c r="D111" s="66"/>
      <c r="E111" s="66"/>
      <c r="F111" s="104" t="str">
        <f>IF(B111&lt;&gt;"",((_xlfn.XLOOKUP(C111,kengetallen_materialen!A$60:A$69,kengetallen_materialen!B$60:B$69))*2*E111)+kengetallen_materialen!B$71*(D111-E111),"")</f>
        <v/>
      </c>
      <c r="G111" s="76" t="str">
        <f>IF(B111&lt;&gt;"",kengetallen_materialen!E$112,"")</f>
        <v/>
      </c>
      <c r="H111" s="104" t="str">
        <f>IF(B111&lt;&gt;"",G111-F111,"")</f>
        <v/>
      </c>
      <c r="J111" s="125" t="str">
        <f>IF(B111&lt;&gt;"","Vervanging na 15 jaar","")</f>
        <v/>
      </c>
    </row>
    <row r="112" spans="1:11" x14ac:dyDescent="0.3">
      <c r="A112" s="71">
        <v>5</v>
      </c>
      <c r="B112" s="72" t="s">
        <v>108</v>
      </c>
      <c r="C112" s="72" t="s">
        <v>184</v>
      </c>
    </row>
    <row r="113" spans="1:14" x14ac:dyDescent="0.3">
      <c r="A113" s="71">
        <v>5</v>
      </c>
      <c r="B113" s="66" t="s">
        <v>101</v>
      </c>
      <c r="C113" s="68">
        <v>5000</v>
      </c>
      <c r="F113" s="104">
        <f>IF(B113&lt;&gt;0,VLOOKUP(B113,kengetallen_materialen!$A$100:$B$104,2)*C113/1000,"")</f>
        <v>3275.0397456279807</v>
      </c>
      <c r="G113" s="76">
        <f>IF(B113&lt;&gt;0,IF(B113=kengetallen_materialen!$A$104,kengetallen_materialen!B$104*C113/1000,kengetallen_materialen!B$105*C113/1000),"")</f>
        <v>4248.6112409987845</v>
      </c>
      <c r="H113" s="104">
        <f>IF(B113&lt;&gt;0,G113-F113,"")</f>
        <v>973.57149537080386</v>
      </c>
      <c r="J113" s="125" t="str">
        <f>IF(B113="Standaard omvormer","Vervanging na 15 jaar","")</f>
        <v/>
      </c>
    </row>
    <row r="114" spans="1:14" x14ac:dyDescent="0.3">
      <c r="A114" s="71">
        <v>5</v>
      </c>
      <c r="B114" s="66" t="s">
        <v>98</v>
      </c>
      <c r="C114" s="68">
        <v>5000</v>
      </c>
      <c r="F114" s="104">
        <f>IF(B114&lt;&gt;0,VLOOKUP(B114,kengetallen_materialen!$A$100:$B$104,2)*C114/1000,"")</f>
        <v>944</v>
      </c>
      <c r="G114" s="76">
        <f>IF(B114&lt;&gt;0,IF(B114=kengetallen_materialen!$A$104,kengetallen_materialen!B$104*C114/1000,kengetallen_materialen!B$105*C114/1000),"")</f>
        <v>944</v>
      </c>
      <c r="H114" s="104">
        <f>IF(B114&lt;&gt;0,G114-F114,"")</f>
        <v>0</v>
      </c>
      <c r="J114" s="125" t="str">
        <f>IF(B114="Standaard omvormer","Vervanging na 15 jaar","")</f>
        <v>Vervanging na 15 jaar</v>
      </c>
    </row>
    <row r="115" spans="1:14" x14ac:dyDescent="0.3">
      <c r="A115" s="71">
        <v>5</v>
      </c>
      <c r="B115" s="66"/>
      <c r="C115" s="68"/>
      <c r="F115" s="104" t="str">
        <f>IF(B115&lt;&gt;0,VLOOKUP(B115,kengetallen_materialen!$A$100:$B$104,2)*C115/1000,"")</f>
        <v/>
      </c>
      <c r="G115" s="76" t="str">
        <f>IF(B115&lt;&gt;0,IF(B115=kengetallen_materialen!$A$104,kengetallen_materialen!B$104*C115/1000,kengetallen_materialen!B$105*C115/1000),"")</f>
        <v/>
      </c>
      <c r="H115" s="104" t="str">
        <f>IF(B115&lt;&gt;0,G115-F115,"")</f>
        <v/>
      </c>
      <c r="J115" s="125" t="str">
        <f>IF(B115="Standaard omvormer","Vervanging na 15 jaar","")</f>
        <v/>
      </c>
    </row>
    <row r="116" spans="1:14" ht="28" hidden="1" outlineLevel="1" x14ac:dyDescent="0.5">
      <c r="A116" s="107"/>
      <c r="B116" s="108" t="s">
        <v>211</v>
      </c>
      <c r="C116" s="107"/>
      <c r="D116" s="107"/>
      <c r="E116" s="107"/>
      <c r="F116" s="109" t="s">
        <v>204</v>
      </c>
      <c r="G116" s="109" t="s">
        <v>205</v>
      </c>
      <c r="H116" s="109" t="s">
        <v>206</v>
      </c>
      <c r="K116" s="79" t="s">
        <v>337</v>
      </c>
      <c r="L116" s="10"/>
      <c r="M116" s="10"/>
      <c r="N116" s="10"/>
    </row>
    <row r="117" spans="1:14" hidden="1" outlineLevel="1" x14ac:dyDescent="0.3">
      <c r="A117" s="71">
        <v>6</v>
      </c>
      <c r="B117" s="72" t="s">
        <v>191</v>
      </c>
      <c r="C117" s="72" t="s">
        <v>190</v>
      </c>
      <c r="D117" s="72" t="s">
        <v>189</v>
      </c>
      <c r="E117" s="72" t="s">
        <v>188</v>
      </c>
      <c r="F117" s="101"/>
      <c r="G117" s="74"/>
      <c r="H117" s="101"/>
      <c r="K117" s="3" t="s">
        <v>8</v>
      </c>
      <c r="L117" s="3" t="s">
        <v>11</v>
      </c>
      <c r="M117" s="3" t="s">
        <v>9</v>
      </c>
      <c r="N117" s="3" t="s">
        <v>10</v>
      </c>
    </row>
    <row r="118" spans="1:14" hidden="1" outlineLevel="1" x14ac:dyDescent="0.3">
      <c r="A118" s="71">
        <v>6</v>
      </c>
      <c r="B118" s="66" t="s">
        <v>181</v>
      </c>
      <c r="C118" s="66" t="s">
        <v>169</v>
      </c>
      <c r="D118" s="66">
        <v>40</v>
      </c>
      <c r="E118" s="67">
        <v>6</v>
      </c>
      <c r="F118" s="102">
        <f>IF(C118="Anders","Neem contact op met VBS",IF(C118&lt;&gt;"",(_xlfn.XLOOKUP(C118,kengetallen_materialen!A$22:A$40,kengetallen_materialen!B$22:B$40))*D118*E118,""))</f>
        <v>175.77464788732394</v>
      </c>
      <c r="G118" s="75">
        <f>IF(C118&lt;&gt;"",(_xlfn.XLOOKUP(B118,kengetallen_materialen!A$16:E$16,kengetallen_materialen!A$17:E$17))*D118*E118,"")</f>
        <v>602.67284069715106</v>
      </c>
      <c r="H118" s="104">
        <f t="shared" ref="H118:H126" si="11">IF(C118="Anders","Neem contact op met VBS",IF(B118&lt;&gt;"",G118-F118,""))</f>
        <v>426.89819280982715</v>
      </c>
      <c r="J118" s="125" t="str">
        <f t="shared" ref="J118:J126" si="12">IF(B118="Isolatieglas", "Vervanging na 15 jaar","")</f>
        <v/>
      </c>
      <c r="K118" s="5" t="s">
        <v>251</v>
      </c>
      <c r="L118" s="5" t="s">
        <v>253</v>
      </c>
      <c r="M118" s="5" t="s">
        <v>252</v>
      </c>
      <c r="N118" s="5" t="s">
        <v>252</v>
      </c>
    </row>
    <row r="119" spans="1:14" hidden="1" outlineLevel="1" x14ac:dyDescent="0.3">
      <c r="A119" s="71">
        <v>6</v>
      </c>
      <c r="B119" s="66" t="s">
        <v>182</v>
      </c>
      <c r="C119" s="66" t="s">
        <v>171</v>
      </c>
      <c r="D119" s="66">
        <v>48</v>
      </c>
      <c r="E119" s="67">
        <v>4</v>
      </c>
      <c r="F119" s="102">
        <f>IF(C119="Anders","Neem contact op met VBS",IF(C119&lt;&gt;"",(_xlfn.XLOOKUP(C119,kengetallen_materialen!A$22:A$40,kengetallen_materialen!B$22:B$40))*D119*E119,""))</f>
        <v>224.45070422535215</v>
      </c>
      <c r="G119" s="75">
        <f>IF(C119&lt;&gt;"",(_xlfn.XLOOKUP(B119,kengetallen_materialen!A$16:E$16,kengetallen_materialen!A$17:E$17))*D119*E119,"")</f>
        <v>418.56000000000006</v>
      </c>
      <c r="H119" s="104">
        <f t="shared" si="11"/>
        <v>194.1092957746479</v>
      </c>
      <c r="J119" s="125" t="str">
        <f t="shared" si="12"/>
        <v/>
      </c>
      <c r="K119" s="110">
        <v>0</v>
      </c>
      <c r="L119" s="110">
        <v>0</v>
      </c>
      <c r="M119" s="110">
        <v>0</v>
      </c>
      <c r="N119" s="110">
        <v>0</v>
      </c>
    </row>
    <row r="120" spans="1:14" hidden="1" outlineLevel="1" x14ac:dyDescent="0.3">
      <c r="A120" s="71">
        <v>6</v>
      </c>
      <c r="B120" s="66" t="s">
        <v>180</v>
      </c>
      <c r="C120" s="66" t="s">
        <v>224</v>
      </c>
      <c r="D120" s="66">
        <v>40</v>
      </c>
      <c r="E120" s="67">
        <v>3.5</v>
      </c>
      <c r="F120" s="102">
        <f>IF(C120="Anders","Neem contact op met VBS",IF(C120&lt;&gt;"",(_xlfn.XLOOKUP(C120,kengetallen_materialen!A$22:A$40,kengetallen_materialen!B$22:B$40))*D120*E120,""))</f>
        <v>49.599999999999994</v>
      </c>
      <c r="G120" s="75">
        <f>IF(C120&lt;&gt;"",(_xlfn.XLOOKUP(B120,kengetallen_materialen!A$16:E$16,kengetallen_materialen!A$17:E$17))*D120*E120,"")</f>
        <v>351.5591570733381</v>
      </c>
      <c r="H120" s="104">
        <f t="shared" si="11"/>
        <v>301.95915707333813</v>
      </c>
      <c r="J120" s="125" t="str">
        <f t="shared" si="12"/>
        <v/>
      </c>
      <c r="K120" s="112" t="s">
        <v>339</v>
      </c>
    </row>
    <row r="121" spans="1:14" hidden="1" outlineLevel="1" x14ac:dyDescent="0.3">
      <c r="A121" s="71">
        <v>6</v>
      </c>
      <c r="B121" s="66" t="s">
        <v>179</v>
      </c>
      <c r="C121" s="66" t="s">
        <v>138</v>
      </c>
      <c r="D121" s="66">
        <v>20</v>
      </c>
      <c r="E121" s="67">
        <f>1/0.4</f>
        <v>2.5</v>
      </c>
      <c r="F121" s="102">
        <f>IF(C121="Anders","Neem contact op met VBS",IF(C121&lt;&gt;"",(_xlfn.XLOOKUP(C121,kengetallen_materialen!A$22:A$40,kengetallen_materialen!B$22:B$40))*D121*E121,""))</f>
        <v>2618</v>
      </c>
      <c r="G121" s="75">
        <f>IF(C121&lt;&gt;"",(_xlfn.XLOOKUP(B121,kengetallen_materialen!A$16:E$16,kengetallen_materialen!A$17:E$17))*D121*E121,"")</f>
        <v>5190.0422245108148</v>
      </c>
      <c r="H121" s="104">
        <f t="shared" si="11"/>
        <v>2572.0422245108148</v>
      </c>
      <c r="J121" s="125" t="str">
        <f t="shared" si="12"/>
        <v>Vervanging na 15 jaar</v>
      </c>
      <c r="K121" s="112" t="s">
        <v>384</v>
      </c>
    </row>
    <row r="122" spans="1:14" hidden="1" outlineLevel="1" x14ac:dyDescent="0.3">
      <c r="A122" s="71">
        <v>6</v>
      </c>
      <c r="B122" s="66" t="s">
        <v>135</v>
      </c>
      <c r="C122" s="66" t="s">
        <v>128</v>
      </c>
      <c r="D122" s="66">
        <v>20</v>
      </c>
      <c r="E122" s="67">
        <f>1/2.4</f>
        <v>0.41666666666666669</v>
      </c>
      <c r="F122" s="102">
        <f>IF(C122="Anders","Neem contact op met VBS",IF(C122&lt;&gt;"",(_xlfn.XLOOKUP(C122,kengetallen_materialen!A$22:A$40,kengetallen_materialen!B$22:B$40))*D122*E122,""))</f>
        <v>-3370.08</v>
      </c>
      <c r="G122" s="75">
        <f>IF(C122&lt;&gt;"",(_xlfn.XLOOKUP(B122,kengetallen_materialen!A$16:E$16,kengetallen_materialen!A$17:E$17))*D122*E122,"")</f>
        <v>-697.63079999999991</v>
      </c>
      <c r="H122" s="104">
        <f t="shared" si="11"/>
        <v>2672.4492</v>
      </c>
      <c r="J122" s="125" t="str">
        <f t="shared" si="12"/>
        <v/>
      </c>
    </row>
    <row r="123" spans="1:14" hidden="1" outlineLevel="1" x14ac:dyDescent="0.3">
      <c r="A123" s="71">
        <v>6</v>
      </c>
      <c r="B123" s="66"/>
      <c r="C123" s="66"/>
      <c r="D123" s="66"/>
      <c r="E123" s="67"/>
      <c r="F123" s="102" t="str">
        <f>IF(C123="Anders","Neem contact op met VBS",IF(C123&lt;&gt;"",(_xlfn.XLOOKUP(C123,kengetallen_materialen!A$22:A$40,kengetallen_materialen!B$22:B$40))*D123*E123,""))</f>
        <v/>
      </c>
      <c r="G123" s="75" t="str">
        <f>IF(C123&lt;&gt;"",(_xlfn.XLOOKUP(B123,kengetallen_materialen!A$16:E$16,kengetallen_materialen!A$17:E$17))*D123*E123,"")</f>
        <v/>
      </c>
      <c r="H123" s="104" t="str">
        <f t="shared" si="11"/>
        <v/>
      </c>
      <c r="J123" s="125" t="str">
        <f t="shared" si="12"/>
        <v/>
      </c>
    </row>
    <row r="124" spans="1:14" hidden="1" outlineLevel="1" x14ac:dyDescent="0.3">
      <c r="A124" s="71">
        <v>6</v>
      </c>
      <c r="B124" s="66"/>
      <c r="C124" s="66"/>
      <c r="D124" s="66"/>
      <c r="E124" s="67"/>
      <c r="F124" s="102" t="str">
        <f>IF(C124="Anders","Neem contact op met VBS",IF(C124&lt;&gt;"",(_xlfn.XLOOKUP(C124,kengetallen_materialen!A$22:A$40,kengetallen_materialen!B$22:B$40))*D124*E124,""))</f>
        <v/>
      </c>
      <c r="G124" s="75" t="str">
        <f>IF(C124&lt;&gt;"",(_xlfn.XLOOKUP(B124,kengetallen_materialen!A$16:E$16,kengetallen_materialen!A$17:E$17))*D124*E124,"")</f>
        <v/>
      </c>
      <c r="H124" s="104" t="str">
        <f t="shared" si="11"/>
        <v/>
      </c>
      <c r="J124" s="125" t="str">
        <f t="shared" si="12"/>
        <v/>
      </c>
    </row>
    <row r="125" spans="1:14" hidden="1" outlineLevel="1" x14ac:dyDescent="0.3">
      <c r="A125" s="71">
        <v>6</v>
      </c>
      <c r="B125" s="66"/>
      <c r="C125" s="66"/>
      <c r="D125" s="66"/>
      <c r="E125" s="67"/>
      <c r="F125" s="102" t="str">
        <f>IF(C125="Anders","Neem contact op met VBS",IF(C125&lt;&gt;"",(_xlfn.XLOOKUP(C125,kengetallen_materialen!A$22:A$40,kengetallen_materialen!B$22:B$40))*D125*E125,""))</f>
        <v/>
      </c>
      <c r="G125" s="75" t="str">
        <f>IF(C125&lt;&gt;"",(_xlfn.XLOOKUP(B125,kengetallen_materialen!A$16:E$16,kengetallen_materialen!A$17:E$17))*D125*E125,"")</f>
        <v/>
      </c>
      <c r="H125" s="104" t="str">
        <f t="shared" si="11"/>
        <v/>
      </c>
      <c r="J125" s="125" t="str">
        <f t="shared" si="12"/>
        <v/>
      </c>
    </row>
    <row r="126" spans="1:14" hidden="1" outlineLevel="1" x14ac:dyDescent="0.3">
      <c r="A126" s="71">
        <v>6</v>
      </c>
      <c r="B126" s="66"/>
      <c r="C126" s="66"/>
      <c r="D126" s="66"/>
      <c r="E126" s="67"/>
      <c r="F126" s="102" t="str">
        <f>IF(C126="Anders","Neem contact op met VBS",IF(C126&lt;&gt;"",(_xlfn.XLOOKUP(C126,kengetallen_materialen!A$22:A$40,kengetallen_materialen!B$22:B$40))*D126*E126,""))</f>
        <v/>
      </c>
      <c r="G126" s="75" t="str">
        <f>IF(C126&lt;&gt;"",(_xlfn.XLOOKUP(B126,kengetallen_materialen!A$16:E$16,kengetallen_materialen!A$17:E$17))*D126*E126,"")</f>
        <v/>
      </c>
      <c r="H126" s="104" t="str">
        <f t="shared" si="11"/>
        <v/>
      </c>
      <c r="J126" s="125" t="str">
        <f t="shared" si="12"/>
        <v/>
      </c>
    </row>
    <row r="127" spans="1:14" hidden="1" outlineLevel="1" x14ac:dyDescent="0.3">
      <c r="A127" s="71">
        <v>6</v>
      </c>
      <c r="B127" s="72" t="s">
        <v>177</v>
      </c>
      <c r="C127" s="72" t="s">
        <v>187</v>
      </c>
    </row>
    <row r="128" spans="1:14" hidden="1" outlineLevel="1" x14ac:dyDescent="0.3">
      <c r="A128" s="71">
        <v>6</v>
      </c>
      <c r="B128" s="66" t="s">
        <v>112</v>
      </c>
      <c r="C128" s="66">
        <v>1</v>
      </c>
      <c r="F128" s="104">
        <f>IF(B128&lt;&gt;"",(_xlfn.XLOOKUP(B128,kengetallen_materialen!A$93:A$95,kengetallen_materialen!B$93:B$95))*2,"")</f>
        <v>674</v>
      </c>
      <c r="G128" s="76">
        <f>IF(B128&lt;&gt;"",kengetallen_materialen!$B$96*2*C128,"")</f>
        <v>529.61111111111109</v>
      </c>
      <c r="H128" s="104">
        <f>IF(B128&lt;&gt;"",G128-F128,"")</f>
        <v>-144.38888888888891</v>
      </c>
      <c r="J128" s="125" t="str">
        <f>IF(B128&lt;&gt;"",(_xlfn.XLOOKUP(B128,kengetallen_materialen!A$93:A$95,kengetallen_materialen!F$93:F$95)),"")</f>
        <v>Vervanging na 15 jaar</v>
      </c>
    </row>
    <row r="129" spans="1:14" hidden="1" outlineLevel="1" x14ac:dyDescent="0.3">
      <c r="A129" s="71">
        <v>6</v>
      </c>
      <c r="B129" s="66"/>
      <c r="C129" s="66"/>
      <c r="E129" s="65" t="str">
        <f>IF(C124&lt;&gt;"",(_xlfn.XLOOKUP(B129,kengetallen_materialen!A$93:A$95,kengetallen_materialen!F$93:F$95)),"")</f>
        <v/>
      </c>
      <c r="F129" s="104" t="str">
        <f>IF(B129&lt;&gt;"",(_xlfn.XLOOKUP(B129,kengetallen_materialen!A$93:A$95,kengetallen_materialen!B$93:B$95))*2,"")</f>
        <v/>
      </c>
      <c r="G129" s="76"/>
      <c r="H129" s="104" t="str">
        <f>IF(B129&lt;&gt;"",G129-F129,"")</f>
        <v/>
      </c>
      <c r="J129" s="125" t="str">
        <f>IF(B129&lt;&gt;"",(_xlfn.XLOOKUP(B129,kengetallen_materialen!A$93:A$95,kengetallen_materialen!F$93:F$95)),"")</f>
        <v/>
      </c>
    </row>
    <row r="130" spans="1:14" hidden="1" outlineLevel="1" x14ac:dyDescent="0.3">
      <c r="A130" s="71">
        <v>6</v>
      </c>
      <c r="B130" s="66"/>
      <c r="C130" s="66"/>
      <c r="E130" s="65" t="str">
        <f>IF(C125&lt;&gt;"",(_xlfn.XLOOKUP(B130,kengetallen_materialen!A$93:A$95,kengetallen_materialen!F$93:F$95)),"")</f>
        <v/>
      </c>
      <c r="F130" s="104" t="str">
        <f>IF(B130&lt;&gt;"",(_xlfn.XLOOKUP(B130,kengetallen_materialen!A$93:A$95,kengetallen_materialen!B$93:B$95))*2,"")</f>
        <v/>
      </c>
      <c r="G130" s="76"/>
      <c r="H130" s="104" t="str">
        <f>IF(B130&lt;&gt;"",G130-F130,"")</f>
        <v/>
      </c>
      <c r="J130" s="125" t="str">
        <f>IF(B130&lt;&gt;"",(_xlfn.XLOOKUP(B130,kengetallen_materialen!A$93:A$95,kengetallen_materialen!F$93:F$95)),"")</f>
        <v/>
      </c>
    </row>
    <row r="131" spans="1:14" ht="39" hidden="1" outlineLevel="1" x14ac:dyDescent="0.3">
      <c r="A131" s="71">
        <v>6</v>
      </c>
      <c r="B131" s="72" t="s">
        <v>178</v>
      </c>
      <c r="C131" s="72" t="s">
        <v>161</v>
      </c>
      <c r="D131" s="72" t="s">
        <v>186</v>
      </c>
      <c r="E131" s="73" t="s">
        <v>185</v>
      </c>
    </row>
    <row r="132" spans="1:14" hidden="1" outlineLevel="1" x14ac:dyDescent="0.3">
      <c r="A132" s="71">
        <v>6</v>
      </c>
      <c r="B132" s="66" t="s">
        <v>174</v>
      </c>
      <c r="C132" s="66" t="s">
        <v>157</v>
      </c>
      <c r="D132" s="66">
        <v>100</v>
      </c>
      <c r="E132" s="66">
        <v>1</v>
      </c>
      <c r="F132" s="104">
        <f>IF(B132&lt;&gt;"",((_xlfn.XLOOKUP(C132,kengetallen_materialen!A$60:A$69,kengetallen_materialen!B$60:B$69))*2*E132)+kengetallen_materialen!B$71*(D132-E132),"")</f>
        <v>2800.97</v>
      </c>
      <c r="G132" s="76">
        <f>IF(B132&lt;&gt;"",IF(B132="Gasketel",F132,kengetallen_materialen!E$112),"")</f>
        <v>485.63</v>
      </c>
      <c r="H132" s="104">
        <f>IF(B132&lt;&gt;"",G132-F132,"")</f>
        <v>-2315.3399999999997</v>
      </c>
      <c r="J132" s="125" t="str">
        <f>IF(B132&lt;&gt;"","Vervanging na 15 jaar","")</f>
        <v>Vervanging na 15 jaar</v>
      </c>
    </row>
    <row r="133" spans="1:14" hidden="1" outlineLevel="1" x14ac:dyDescent="0.3">
      <c r="A133" s="71">
        <v>6</v>
      </c>
      <c r="B133" s="66"/>
      <c r="C133" s="66"/>
      <c r="D133" s="66"/>
      <c r="E133" s="66"/>
      <c r="F133" s="104" t="str">
        <f>IF(B133&lt;&gt;"",((_xlfn.XLOOKUP(C133,kengetallen_materialen!A$60:A$69,kengetallen_materialen!B$60:B$69))*2*E133)+kengetallen_materialen!B$71*(D133-E133),"")</f>
        <v/>
      </c>
      <c r="G133" s="76" t="str">
        <f>IF(B133&lt;&gt;"",kengetallen_materialen!E$112,"")</f>
        <v/>
      </c>
      <c r="H133" s="104" t="str">
        <f>IF(B133&lt;&gt;"",G133-F133,"")</f>
        <v/>
      </c>
      <c r="J133" s="125" t="str">
        <f>IF(B133&lt;&gt;"","Vervanging na 15 jaar","")</f>
        <v/>
      </c>
    </row>
    <row r="134" spans="1:14" hidden="1" outlineLevel="1" x14ac:dyDescent="0.3">
      <c r="A134" s="71">
        <v>6</v>
      </c>
      <c r="B134" s="66"/>
      <c r="C134" s="66"/>
      <c r="D134" s="66"/>
      <c r="E134" s="66"/>
      <c r="F134" s="104" t="str">
        <f>IF(B134&lt;&gt;"",((_xlfn.XLOOKUP(C134,kengetallen_materialen!A$60:A$69,kengetallen_materialen!B$60:B$69))*2*E134)+kengetallen_materialen!B$71*(D134-E134),"")</f>
        <v/>
      </c>
      <c r="G134" s="76" t="str">
        <f>IF(B134&lt;&gt;"",kengetallen_materialen!E$112,"")</f>
        <v/>
      </c>
      <c r="H134" s="104" t="str">
        <f>IF(B134&lt;&gt;"",G134-F134,"")</f>
        <v/>
      </c>
      <c r="J134" s="125" t="str">
        <f>IF(B134&lt;&gt;"","Vervanging na 15 jaar","")</f>
        <v/>
      </c>
    </row>
    <row r="135" spans="1:14" hidden="1" outlineLevel="1" x14ac:dyDescent="0.3">
      <c r="A135" s="71">
        <v>6</v>
      </c>
      <c r="B135" s="72" t="s">
        <v>108</v>
      </c>
      <c r="C135" s="72" t="s">
        <v>184</v>
      </c>
    </row>
    <row r="136" spans="1:14" hidden="1" outlineLevel="1" x14ac:dyDescent="0.3">
      <c r="A136" s="71">
        <v>6</v>
      </c>
      <c r="B136" s="66" t="s">
        <v>101</v>
      </c>
      <c r="C136" s="68">
        <v>5000</v>
      </c>
      <c r="F136" s="104">
        <f>IF(B136&lt;&gt;0,VLOOKUP(B136,kengetallen_materialen!$A$100:$B$104,2)*C136/1000,"")</f>
        <v>3275.0397456279807</v>
      </c>
      <c r="G136" s="76">
        <f>IF(B136&lt;&gt;0,IF(B136=kengetallen_materialen!$A$104,kengetallen_materialen!B$104*C136/1000,kengetallen_materialen!B$105*C136/1000),"")</f>
        <v>4248.6112409987845</v>
      </c>
      <c r="H136" s="104">
        <f>IF(B136&lt;&gt;0,G136-F136,"")</f>
        <v>973.57149537080386</v>
      </c>
      <c r="J136" s="125" t="str">
        <f>IF(B136="Standaard omvormer","Vervanging na 15 jaar","")</f>
        <v/>
      </c>
    </row>
    <row r="137" spans="1:14" hidden="1" outlineLevel="1" x14ac:dyDescent="0.3">
      <c r="A137" s="71">
        <v>6</v>
      </c>
      <c r="B137" s="66" t="s">
        <v>98</v>
      </c>
      <c r="C137" s="68">
        <v>5000</v>
      </c>
      <c r="F137" s="104">
        <f>IF(B137&lt;&gt;0,VLOOKUP(B137,kengetallen_materialen!$A$100:$B$104,2)*C137/1000,"")</f>
        <v>944</v>
      </c>
      <c r="G137" s="76">
        <f>IF(B137&lt;&gt;0,IF(B137=kengetallen_materialen!$A$104,kengetallen_materialen!B$104*C137/1000,kengetallen_materialen!B$105*C137/1000),"")</f>
        <v>944</v>
      </c>
      <c r="H137" s="104">
        <f>IF(B137&lt;&gt;0,G137-F137,"")</f>
        <v>0</v>
      </c>
      <c r="J137" s="125" t="str">
        <f>IF(B137="Standaard omvormer","Vervanging na 15 jaar","")</f>
        <v>Vervanging na 15 jaar</v>
      </c>
    </row>
    <row r="138" spans="1:14" hidden="1" outlineLevel="1" x14ac:dyDescent="0.3">
      <c r="A138" s="71">
        <v>6</v>
      </c>
      <c r="B138" s="66"/>
      <c r="C138" s="68"/>
      <c r="F138" s="104" t="str">
        <f>IF(B138&lt;&gt;0,VLOOKUP(B138,kengetallen_materialen!$A$100:$B$104,2)*C138/1000,"")</f>
        <v/>
      </c>
      <c r="G138" s="76" t="str">
        <f>IF(B138&lt;&gt;0,IF(B138=kengetallen_materialen!$A$104,kengetallen_materialen!B$104*C138/1000,kengetallen_materialen!B$105*C138/1000),"")</f>
        <v/>
      </c>
      <c r="H138" s="104" t="str">
        <f>IF(B138&lt;&gt;0,G138-F138,"")</f>
        <v/>
      </c>
      <c r="J138" s="125" t="str">
        <f>IF(B138="Standaard omvormer","Vervanging na 15 jaar","")</f>
        <v/>
      </c>
    </row>
    <row r="139" spans="1:14" ht="28" hidden="1" outlineLevel="1" x14ac:dyDescent="0.5">
      <c r="A139" s="107"/>
      <c r="B139" s="108" t="s">
        <v>212</v>
      </c>
      <c r="C139" s="107"/>
      <c r="D139" s="107"/>
      <c r="E139" s="107"/>
      <c r="F139" s="109" t="s">
        <v>204</v>
      </c>
      <c r="G139" s="109" t="s">
        <v>205</v>
      </c>
      <c r="H139" s="109" t="s">
        <v>206</v>
      </c>
      <c r="K139" s="79" t="s">
        <v>337</v>
      </c>
      <c r="L139" s="10"/>
      <c r="M139" s="10"/>
      <c r="N139" s="10"/>
    </row>
    <row r="140" spans="1:14" hidden="1" outlineLevel="1" x14ac:dyDescent="0.3">
      <c r="A140" s="71">
        <v>7</v>
      </c>
      <c r="B140" s="72" t="s">
        <v>191</v>
      </c>
      <c r="C140" s="72" t="s">
        <v>190</v>
      </c>
      <c r="D140" s="72" t="s">
        <v>189</v>
      </c>
      <c r="E140" s="72" t="s">
        <v>188</v>
      </c>
      <c r="F140" s="101"/>
      <c r="G140" s="74"/>
      <c r="H140" s="101"/>
      <c r="K140" s="3" t="s">
        <v>8</v>
      </c>
      <c r="L140" s="3" t="s">
        <v>11</v>
      </c>
      <c r="M140" s="3" t="s">
        <v>9</v>
      </c>
      <c r="N140" s="3" t="s">
        <v>10</v>
      </c>
    </row>
    <row r="141" spans="1:14" hidden="1" outlineLevel="1" x14ac:dyDescent="0.3">
      <c r="A141" s="71">
        <v>7</v>
      </c>
      <c r="B141" s="66" t="s">
        <v>181</v>
      </c>
      <c r="C141" s="66" t="s">
        <v>169</v>
      </c>
      <c r="D141" s="66">
        <v>40</v>
      </c>
      <c r="E141" s="67">
        <v>6</v>
      </c>
      <c r="F141" s="102">
        <f>IF(C141="Anders","Neem contact op met VBS",IF(C141&lt;&gt;"",(_xlfn.XLOOKUP(C141,kengetallen_materialen!A$22:A$40,kengetallen_materialen!B$22:B$40))*D141*E141,""))</f>
        <v>175.77464788732394</v>
      </c>
      <c r="G141" s="75">
        <f>IF(C141&lt;&gt;"",(_xlfn.XLOOKUP(B141,kengetallen_materialen!A$16:E$16,kengetallen_materialen!A$17:E$17))*D141*E141,"")</f>
        <v>602.67284069715106</v>
      </c>
      <c r="H141" s="104">
        <f t="shared" ref="H141:H149" si="13">IF(C141="Anders","Neem contact op met VBS",IF(B141&lt;&gt;"",G141-F141,""))</f>
        <v>426.89819280982715</v>
      </c>
      <c r="J141" s="125" t="str">
        <f t="shared" ref="J141:J149" si="14">IF(B141="Isolatieglas", "Vervanging na 15 jaar","")</f>
        <v/>
      </c>
      <c r="K141" s="5" t="s">
        <v>251</v>
      </c>
      <c r="L141" s="5" t="s">
        <v>253</v>
      </c>
      <c r="M141" s="5" t="s">
        <v>252</v>
      </c>
      <c r="N141" s="5" t="s">
        <v>252</v>
      </c>
    </row>
    <row r="142" spans="1:14" hidden="1" outlineLevel="1" x14ac:dyDescent="0.3">
      <c r="A142" s="71">
        <v>7</v>
      </c>
      <c r="B142" s="66" t="s">
        <v>182</v>
      </c>
      <c r="C142" s="66" t="s">
        <v>171</v>
      </c>
      <c r="D142" s="66">
        <v>48</v>
      </c>
      <c r="E142" s="67">
        <v>4</v>
      </c>
      <c r="F142" s="102">
        <f>IF(C142="Anders","Neem contact op met VBS",IF(C142&lt;&gt;"",(_xlfn.XLOOKUP(C142,kengetallen_materialen!A$22:A$40,kengetallen_materialen!B$22:B$40))*D142*E142,""))</f>
        <v>224.45070422535215</v>
      </c>
      <c r="G142" s="75">
        <f>IF(C142&lt;&gt;"",(_xlfn.XLOOKUP(B142,kengetallen_materialen!A$16:E$16,kengetallen_materialen!A$17:E$17))*D142*E142,"")</f>
        <v>418.56000000000006</v>
      </c>
      <c r="H142" s="104">
        <f t="shared" si="13"/>
        <v>194.1092957746479</v>
      </c>
      <c r="J142" s="125" t="str">
        <f t="shared" si="14"/>
        <v/>
      </c>
      <c r="K142" s="110">
        <v>0</v>
      </c>
      <c r="L142" s="110">
        <v>0</v>
      </c>
      <c r="M142" s="110">
        <v>0</v>
      </c>
      <c r="N142" s="110">
        <v>0</v>
      </c>
    </row>
    <row r="143" spans="1:14" hidden="1" outlineLevel="1" x14ac:dyDescent="0.3">
      <c r="A143" s="71">
        <v>7</v>
      </c>
      <c r="B143" s="66" t="s">
        <v>180</v>
      </c>
      <c r="C143" s="66" t="s">
        <v>224</v>
      </c>
      <c r="D143" s="66">
        <v>40</v>
      </c>
      <c r="E143" s="67">
        <v>3.5</v>
      </c>
      <c r="F143" s="102">
        <f>IF(C143="Anders","Neem contact op met VBS",IF(C143&lt;&gt;"",(_xlfn.XLOOKUP(C143,kengetallen_materialen!A$22:A$40,kengetallen_materialen!B$22:B$40))*D143*E143,""))</f>
        <v>49.599999999999994</v>
      </c>
      <c r="G143" s="75">
        <f>IF(C143&lt;&gt;"",(_xlfn.XLOOKUP(B143,kengetallen_materialen!A$16:E$16,kengetallen_materialen!A$17:E$17))*D143*E143,"")</f>
        <v>351.5591570733381</v>
      </c>
      <c r="H143" s="104">
        <f t="shared" si="13"/>
        <v>301.95915707333813</v>
      </c>
      <c r="J143" s="125" t="str">
        <f t="shared" si="14"/>
        <v/>
      </c>
      <c r="K143" s="112" t="s">
        <v>339</v>
      </c>
    </row>
    <row r="144" spans="1:14" hidden="1" outlineLevel="1" x14ac:dyDescent="0.3">
      <c r="A144" s="71">
        <v>7</v>
      </c>
      <c r="B144" s="66" t="s">
        <v>179</v>
      </c>
      <c r="C144" s="66" t="s">
        <v>138</v>
      </c>
      <c r="D144" s="66">
        <v>20</v>
      </c>
      <c r="E144" s="67">
        <f>1/0.4</f>
        <v>2.5</v>
      </c>
      <c r="F144" s="102">
        <f>IF(C144="Anders","Neem contact op met VBS",IF(C144&lt;&gt;"",(_xlfn.XLOOKUP(C144,kengetallen_materialen!A$22:A$40,kengetallen_materialen!B$22:B$40))*D144*E144,""))</f>
        <v>2618</v>
      </c>
      <c r="G144" s="75">
        <f>IF(C144&lt;&gt;"",(_xlfn.XLOOKUP(B144,kengetallen_materialen!A$16:E$16,kengetallen_materialen!A$17:E$17))*D144*E144,"")</f>
        <v>5190.0422245108148</v>
      </c>
      <c r="H144" s="104">
        <f t="shared" si="13"/>
        <v>2572.0422245108148</v>
      </c>
      <c r="J144" s="125" t="str">
        <f t="shared" si="14"/>
        <v>Vervanging na 15 jaar</v>
      </c>
      <c r="K144" s="112" t="s">
        <v>384</v>
      </c>
    </row>
    <row r="145" spans="1:10" hidden="1" outlineLevel="1" x14ac:dyDescent="0.3">
      <c r="A145" s="71">
        <v>7</v>
      </c>
      <c r="B145" s="66" t="s">
        <v>135</v>
      </c>
      <c r="C145" s="66" t="s">
        <v>128</v>
      </c>
      <c r="D145" s="66">
        <v>20</v>
      </c>
      <c r="E145" s="67">
        <f>1/2.4</f>
        <v>0.41666666666666669</v>
      </c>
      <c r="F145" s="102">
        <f>IF(C145="Anders","Neem contact op met VBS",IF(C145&lt;&gt;"",(_xlfn.XLOOKUP(C145,kengetallen_materialen!A$22:A$40,kengetallen_materialen!B$22:B$40))*D145*E145,""))</f>
        <v>-3370.08</v>
      </c>
      <c r="G145" s="75">
        <f>IF(C145&lt;&gt;"",(_xlfn.XLOOKUP(B145,kengetallen_materialen!A$16:E$16,kengetallen_materialen!A$17:E$17))*D145*E145,"")</f>
        <v>-697.63079999999991</v>
      </c>
      <c r="H145" s="104">
        <f t="shared" si="13"/>
        <v>2672.4492</v>
      </c>
      <c r="J145" s="125" t="str">
        <f t="shared" si="14"/>
        <v/>
      </c>
    </row>
    <row r="146" spans="1:10" hidden="1" outlineLevel="1" x14ac:dyDescent="0.3">
      <c r="A146" s="71">
        <v>7</v>
      </c>
      <c r="B146" s="66"/>
      <c r="C146" s="66"/>
      <c r="D146" s="66"/>
      <c r="E146" s="67"/>
      <c r="F146" s="102" t="str">
        <f>IF(C146="Anders","Neem contact op met VBS",IF(C146&lt;&gt;"",(_xlfn.XLOOKUP(C146,kengetallen_materialen!A$22:A$40,kengetallen_materialen!B$22:B$40))*D146*E146,""))</f>
        <v/>
      </c>
      <c r="G146" s="75" t="str">
        <f>IF(C146&lt;&gt;"",(_xlfn.XLOOKUP(B146,kengetallen_materialen!A$16:E$16,kengetallen_materialen!A$17:E$17))*D146*E146,"")</f>
        <v/>
      </c>
      <c r="H146" s="104" t="str">
        <f t="shared" si="13"/>
        <v/>
      </c>
      <c r="J146" s="125" t="str">
        <f t="shared" si="14"/>
        <v/>
      </c>
    </row>
    <row r="147" spans="1:10" hidden="1" outlineLevel="1" x14ac:dyDescent="0.3">
      <c r="A147" s="71">
        <v>7</v>
      </c>
      <c r="B147" s="66"/>
      <c r="C147" s="66"/>
      <c r="D147" s="66"/>
      <c r="E147" s="67"/>
      <c r="F147" s="102" t="str">
        <f>IF(C147="Anders","Neem contact op met VBS",IF(C147&lt;&gt;"",(_xlfn.XLOOKUP(C147,kengetallen_materialen!A$22:A$40,kengetallen_materialen!B$22:B$40))*D147*E147,""))</f>
        <v/>
      </c>
      <c r="G147" s="75" t="str">
        <f>IF(C147&lt;&gt;"",(_xlfn.XLOOKUP(B147,kengetallen_materialen!A$16:E$16,kengetallen_materialen!A$17:E$17))*D147*E147,"")</f>
        <v/>
      </c>
      <c r="H147" s="104" t="str">
        <f t="shared" si="13"/>
        <v/>
      </c>
      <c r="J147" s="125" t="str">
        <f t="shared" si="14"/>
        <v/>
      </c>
    </row>
    <row r="148" spans="1:10" hidden="1" outlineLevel="1" x14ac:dyDescent="0.3">
      <c r="A148" s="71">
        <v>7</v>
      </c>
      <c r="B148" s="66"/>
      <c r="C148" s="66"/>
      <c r="D148" s="66"/>
      <c r="E148" s="67"/>
      <c r="F148" s="102" t="str">
        <f>IF(C148="Anders","Neem contact op met VBS",IF(C148&lt;&gt;"",(_xlfn.XLOOKUP(C148,kengetallen_materialen!A$22:A$40,kengetallen_materialen!B$22:B$40))*D148*E148,""))</f>
        <v/>
      </c>
      <c r="G148" s="75" t="str">
        <f>IF(C148&lt;&gt;"",(_xlfn.XLOOKUP(B148,kengetallen_materialen!A$16:E$16,kengetallen_materialen!A$17:E$17))*D148*E148,"")</f>
        <v/>
      </c>
      <c r="H148" s="104" t="str">
        <f t="shared" si="13"/>
        <v/>
      </c>
      <c r="J148" s="125" t="str">
        <f t="shared" si="14"/>
        <v/>
      </c>
    </row>
    <row r="149" spans="1:10" hidden="1" outlineLevel="1" x14ac:dyDescent="0.3">
      <c r="A149" s="71">
        <v>7</v>
      </c>
      <c r="B149" s="66"/>
      <c r="C149" s="66"/>
      <c r="D149" s="66"/>
      <c r="E149" s="67"/>
      <c r="F149" s="102" t="str">
        <f>IF(C149="Anders","Neem contact op met VBS",IF(C149&lt;&gt;"",(_xlfn.XLOOKUP(C149,kengetallen_materialen!A$22:A$40,kengetallen_materialen!B$22:B$40))*D149*E149,""))</f>
        <v/>
      </c>
      <c r="G149" s="75" t="str">
        <f>IF(C149&lt;&gt;"",(_xlfn.XLOOKUP(B149,kengetallen_materialen!A$16:E$16,kengetallen_materialen!A$17:E$17))*D149*E149,"")</f>
        <v/>
      </c>
      <c r="H149" s="104" t="str">
        <f t="shared" si="13"/>
        <v/>
      </c>
      <c r="J149" s="125" t="str">
        <f t="shared" si="14"/>
        <v/>
      </c>
    </row>
    <row r="150" spans="1:10" hidden="1" outlineLevel="1" x14ac:dyDescent="0.3">
      <c r="A150" s="71">
        <v>7</v>
      </c>
      <c r="B150" s="72" t="s">
        <v>177</v>
      </c>
      <c r="C150" s="72" t="s">
        <v>187</v>
      </c>
    </row>
    <row r="151" spans="1:10" hidden="1" outlineLevel="1" x14ac:dyDescent="0.3">
      <c r="A151" s="71">
        <v>7</v>
      </c>
      <c r="B151" s="66" t="s">
        <v>112</v>
      </c>
      <c r="C151" s="66">
        <v>1</v>
      </c>
      <c r="F151" s="104">
        <f>IF(B151&lt;&gt;"",(_xlfn.XLOOKUP(B151,kengetallen_materialen!A$93:A$95,kengetallen_materialen!B$93:B$95))*2,"")</f>
        <v>674</v>
      </c>
      <c r="G151" s="76">
        <f>IF(B151&lt;&gt;"",kengetallen_materialen!$B$96*2*C151,"")</f>
        <v>529.61111111111109</v>
      </c>
      <c r="H151" s="104">
        <f>IF(B151&lt;&gt;"",G151-F151,"")</f>
        <v>-144.38888888888891</v>
      </c>
      <c r="J151" s="125" t="str">
        <f>IF(B151&lt;&gt;"",(_xlfn.XLOOKUP(B151,kengetallen_materialen!A$93:A$95,kengetallen_materialen!F$93:F$95)),"")</f>
        <v>Vervanging na 15 jaar</v>
      </c>
    </row>
    <row r="152" spans="1:10" hidden="1" outlineLevel="1" x14ac:dyDescent="0.3">
      <c r="A152" s="71">
        <v>7</v>
      </c>
      <c r="B152" s="66"/>
      <c r="C152" s="66"/>
      <c r="E152" s="65" t="str">
        <f>IF(C147&lt;&gt;"",(_xlfn.XLOOKUP(B152,kengetallen_materialen!A$93:A$95,kengetallen_materialen!F$93:F$95)),"")</f>
        <v/>
      </c>
      <c r="F152" s="104" t="str">
        <f>IF(B152&lt;&gt;"",(_xlfn.XLOOKUP(B152,kengetallen_materialen!A$93:A$95,kengetallen_materialen!B$93:B$95))*2,"")</f>
        <v/>
      </c>
      <c r="G152" s="76"/>
      <c r="H152" s="104" t="str">
        <f>IF(B152&lt;&gt;"",G152-F152,"")</f>
        <v/>
      </c>
      <c r="J152" s="125" t="str">
        <f>IF(B152&lt;&gt;"",(_xlfn.XLOOKUP(B152,kengetallen_materialen!A$93:A$95,kengetallen_materialen!F$93:F$95)),"")</f>
        <v/>
      </c>
    </row>
    <row r="153" spans="1:10" hidden="1" outlineLevel="1" x14ac:dyDescent="0.3">
      <c r="A153" s="71">
        <v>7</v>
      </c>
      <c r="B153" s="66"/>
      <c r="C153" s="66"/>
      <c r="E153" s="65" t="str">
        <f>IF(C148&lt;&gt;"",(_xlfn.XLOOKUP(B153,kengetallen_materialen!A$93:A$95,kengetallen_materialen!F$93:F$95)),"")</f>
        <v/>
      </c>
      <c r="F153" s="104" t="str">
        <f>IF(B153&lt;&gt;"",(_xlfn.XLOOKUP(B153,kengetallen_materialen!A$93:A$95,kengetallen_materialen!B$93:B$95))*2,"")</f>
        <v/>
      </c>
      <c r="G153" s="76"/>
      <c r="H153" s="104" t="str">
        <f>IF(B153&lt;&gt;"",G153-F153,"")</f>
        <v/>
      </c>
      <c r="J153" s="125" t="str">
        <f>IF(B153&lt;&gt;"",(_xlfn.XLOOKUP(B153,kengetallen_materialen!A$93:A$95,kengetallen_materialen!F$93:F$95)),"")</f>
        <v/>
      </c>
    </row>
    <row r="154" spans="1:10" ht="39" hidden="1" outlineLevel="1" x14ac:dyDescent="0.3">
      <c r="A154" s="71">
        <v>7</v>
      </c>
      <c r="B154" s="72" t="s">
        <v>178</v>
      </c>
      <c r="C154" s="72" t="s">
        <v>161</v>
      </c>
      <c r="D154" s="72" t="s">
        <v>186</v>
      </c>
      <c r="E154" s="73" t="s">
        <v>185</v>
      </c>
    </row>
    <row r="155" spans="1:10" hidden="1" outlineLevel="1" x14ac:dyDescent="0.3">
      <c r="A155" s="71">
        <v>7</v>
      </c>
      <c r="B155" s="66" t="s">
        <v>174</v>
      </c>
      <c r="C155" s="66" t="s">
        <v>157</v>
      </c>
      <c r="D155" s="66">
        <v>100</v>
      </c>
      <c r="E155" s="66">
        <v>1</v>
      </c>
      <c r="F155" s="104">
        <f>IF(B155&lt;&gt;"",((_xlfn.XLOOKUP(C155,kengetallen_materialen!A$60:A$69,kengetallen_materialen!B$60:B$69))*2*E155)+kengetallen_materialen!B$71*(D155-E155),"")</f>
        <v>2800.97</v>
      </c>
      <c r="G155" s="76">
        <f>IF(B155&lt;&gt;"",IF(B155="Gasketel",F155,kengetallen_materialen!E$112),"")</f>
        <v>485.63</v>
      </c>
      <c r="H155" s="104">
        <f>IF(B155&lt;&gt;"",G155-F155,"")</f>
        <v>-2315.3399999999997</v>
      </c>
      <c r="J155" s="125" t="str">
        <f>IF(B155&lt;&gt;"","Vervanging na 15 jaar","")</f>
        <v>Vervanging na 15 jaar</v>
      </c>
    </row>
    <row r="156" spans="1:10" hidden="1" outlineLevel="1" x14ac:dyDescent="0.3">
      <c r="A156" s="71">
        <v>7</v>
      </c>
      <c r="B156" s="66"/>
      <c r="C156" s="66"/>
      <c r="D156" s="66"/>
      <c r="E156" s="66"/>
      <c r="F156" s="104" t="str">
        <f>IF(B156&lt;&gt;"",((_xlfn.XLOOKUP(C156,kengetallen_materialen!A$60:A$69,kengetallen_materialen!B$60:B$69))*2*E156)+kengetallen_materialen!B$71*(D156-E156),"")</f>
        <v/>
      </c>
      <c r="G156" s="76" t="str">
        <f>IF(B156&lt;&gt;"",kengetallen_materialen!E$112,"")</f>
        <v/>
      </c>
      <c r="H156" s="104" t="str">
        <f>IF(B156&lt;&gt;"",G156-F156,"")</f>
        <v/>
      </c>
      <c r="J156" s="125" t="str">
        <f>IF(B156&lt;&gt;"","Vervanging na 15 jaar","")</f>
        <v/>
      </c>
    </row>
    <row r="157" spans="1:10" hidden="1" outlineLevel="1" x14ac:dyDescent="0.3">
      <c r="A157" s="71">
        <v>7</v>
      </c>
      <c r="B157" s="66"/>
      <c r="C157" s="66"/>
      <c r="D157" s="66"/>
      <c r="E157" s="66"/>
      <c r="F157" s="104" t="str">
        <f>IF(B157&lt;&gt;"",((_xlfn.XLOOKUP(C157,kengetallen_materialen!A$60:A$69,kengetallen_materialen!B$60:B$69))*2*E157)+kengetallen_materialen!B$71*(D157-E157),"")</f>
        <v/>
      </c>
      <c r="G157" s="76" t="str">
        <f>IF(B157&lt;&gt;"",kengetallen_materialen!E$112,"")</f>
        <v/>
      </c>
      <c r="H157" s="104" t="str">
        <f>IF(B157&lt;&gt;"",G157-F157,"")</f>
        <v/>
      </c>
      <c r="J157" s="125" t="str">
        <f>IF(B157&lt;&gt;"","Vervanging na 15 jaar","")</f>
        <v/>
      </c>
    </row>
    <row r="158" spans="1:10" hidden="1" outlineLevel="1" x14ac:dyDescent="0.3">
      <c r="A158" s="71">
        <v>7</v>
      </c>
      <c r="B158" s="72" t="s">
        <v>108</v>
      </c>
      <c r="C158" s="72" t="s">
        <v>184</v>
      </c>
    </row>
    <row r="159" spans="1:10" hidden="1" outlineLevel="1" x14ac:dyDescent="0.3">
      <c r="A159" s="71">
        <v>7</v>
      </c>
      <c r="B159" s="66" t="s">
        <v>101</v>
      </c>
      <c r="C159" s="68">
        <v>5000</v>
      </c>
      <c r="F159" s="104">
        <f>IF(B159&lt;&gt;0,VLOOKUP(B159,kengetallen_materialen!$A$100:$B$104,2)*C159/1000,"")</f>
        <v>3275.0397456279807</v>
      </c>
      <c r="G159" s="76">
        <f>IF(B159&lt;&gt;0,IF(B159=kengetallen_materialen!$A$104,kengetallen_materialen!B$104*C159/1000,kengetallen_materialen!B$105*C159/1000),"")</f>
        <v>4248.6112409987845</v>
      </c>
      <c r="H159" s="104">
        <f>IF(B159&lt;&gt;0,G159-F159,"")</f>
        <v>973.57149537080386</v>
      </c>
      <c r="J159" s="125" t="str">
        <f>IF(B159="Standaard omvormer","Vervanging na 15 jaar","")</f>
        <v/>
      </c>
    </row>
    <row r="160" spans="1:10" hidden="1" outlineLevel="1" x14ac:dyDescent="0.3">
      <c r="A160" s="71">
        <v>7</v>
      </c>
      <c r="B160" s="66" t="s">
        <v>98</v>
      </c>
      <c r="C160" s="68">
        <v>5000</v>
      </c>
      <c r="F160" s="104">
        <f>IF(B160&lt;&gt;0,VLOOKUP(B160,kengetallen_materialen!$A$100:$B$104,2)*C160/1000,"")</f>
        <v>944</v>
      </c>
      <c r="G160" s="76">
        <f>IF(B160&lt;&gt;0,IF(B160=kengetallen_materialen!$A$104,kengetallen_materialen!B$104*C160/1000,kengetallen_materialen!B$105*C160/1000),"")</f>
        <v>944</v>
      </c>
      <c r="H160" s="104">
        <f>IF(B160&lt;&gt;0,G160-F160,"")</f>
        <v>0</v>
      </c>
      <c r="J160" s="125" t="str">
        <f>IF(B160="Standaard omvormer","Vervanging na 15 jaar","")</f>
        <v>Vervanging na 15 jaar</v>
      </c>
    </row>
    <row r="161" spans="1:14" hidden="1" outlineLevel="1" x14ac:dyDescent="0.3">
      <c r="A161" s="71">
        <v>7</v>
      </c>
      <c r="B161" s="66"/>
      <c r="C161" s="68"/>
      <c r="F161" s="104" t="str">
        <f>IF(B161&lt;&gt;0,VLOOKUP(B161,kengetallen_materialen!$A$100:$B$104,2)*C161/1000,"")</f>
        <v/>
      </c>
      <c r="G161" s="76" t="str">
        <f>IF(B161&lt;&gt;0,IF(B161=kengetallen_materialen!$A$104,kengetallen_materialen!B$104*C161/1000,kengetallen_materialen!B$105*C161/1000),"")</f>
        <v/>
      </c>
      <c r="H161" s="104" t="str">
        <f>IF(B161&lt;&gt;0,G161-F161,"")</f>
        <v/>
      </c>
      <c r="J161" s="125" t="str">
        <f>IF(B161="Standaard omvormer","Vervanging na 15 jaar","")</f>
        <v/>
      </c>
    </row>
    <row r="162" spans="1:14" ht="28" hidden="1" outlineLevel="1" x14ac:dyDescent="0.5">
      <c r="A162" s="107"/>
      <c r="B162" s="108" t="s">
        <v>246</v>
      </c>
      <c r="C162" s="107"/>
      <c r="D162" s="107"/>
      <c r="E162" s="107"/>
      <c r="F162" s="109" t="s">
        <v>204</v>
      </c>
      <c r="G162" s="109" t="s">
        <v>205</v>
      </c>
      <c r="H162" s="109" t="s">
        <v>206</v>
      </c>
      <c r="K162" s="79" t="s">
        <v>337</v>
      </c>
      <c r="L162" s="10"/>
      <c r="M162" s="10"/>
      <c r="N162" s="10"/>
    </row>
    <row r="163" spans="1:14" hidden="1" outlineLevel="1" x14ac:dyDescent="0.3">
      <c r="A163" s="71">
        <v>8</v>
      </c>
      <c r="B163" s="72" t="s">
        <v>191</v>
      </c>
      <c r="C163" s="72" t="s">
        <v>190</v>
      </c>
      <c r="D163" s="72" t="s">
        <v>189</v>
      </c>
      <c r="E163" s="72" t="s">
        <v>188</v>
      </c>
      <c r="F163" s="101"/>
      <c r="G163" s="74"/>
      <c r="H163" s="101"/>
      <c r="K163" s="3" t="s">
        <v>8</v>
      </c>
      <c r="L163" s="3" t="s">
        <v>11</v>
      </c>
      <c r="M163" s="3" t="s">
        <v>9</v>
      </c>
      <c r="N163" s="3" t="s">
        <v>10</v>
      </c>
    </row>
    <row r="164" spans="1:14" hidden="1" outlineLevel="1" x14ac:dyDescent="0.3">
      <c r="A164" s="71">
        <v>8</v>
      </c>
      <c r="B164" s="66" t="s">
        <v>181</v>
      </c>
      <c r="C164" s="66" t="s">
        <v>169</v>
      </c>
      <c r="D164" s="66">
        <v>40</v>
      </c>
      <c r="E164" s="67">
        <v>6</v>
      </c>
      <c r="F164" s="102">
        <f>IF(C164="Anders","Neem contact op met VBS",IF(C164&lt;&gt;"",(_xlfn.XLOOKUP(C164,kengetallen_materialen!A$22:A$40,kengetallen_materialen!B$22:B$40))*D164*E164,""))</f>
        <v>175.77464788732394</v>
      </c>
      <c r="G164" s="75">
        <f>IF(C164&lt;&gt;"",(_xlfn.XLOOKUP(B164,kengetallen_materialen!A$16:E$16,kengetallen_materialen!A$17:E$17))*D164*E164,"")</f>
        <v>602.67284069715106</v>
      </c>
      <c r="H164" s="104">
        <f t="shared" ref="H164:H172" si="15">IF(C164="Anders","Neem contact op met VBS",IF(B164&lt;&gt;"",G164-F164,""))</f>
        <v>426.89819280982715</v>
      </c>
      <c r="J164" s="125" t="str">
        <f t="shared" ref="J164:J172" si="16">IF(B164="Isolatieglas", "Vervanging na 15 jaar","")</f>
        <v/>
      </c>
      <c r="K164" s="5" t="s">
        <v>251</v>
      </c>
      <c r="L164" s="5" t="s">
        <v>253</v>
      </c>
      <c r="M164" s="5" t="s">
        <v>252</v>
      </c>
      <c r="N164" s="5" t="s">
        <v>252</v>
      </c>
    </row>
    <row r="165" spans="1:14" hidden="1" outlineLevel="1" x14ac:dyDescent="0.3">
      <c r="A165" s="71">
        <v>8</v>
      </c>
      <c r="B165" s="66" t="s">
        <v>182</v>
      </c>
      <c r="C165" s="66" t="s">
        <v>171</v>
      </c>
      <c r="D165" s="66">
        <v>48</v>
      </c>
      <c r="E165" s="67">
        <v>4</v>
      </c>
      <c r="F165" s="102">
        <f>IF(C165="Anders","Neem contact op met VBS",IF(C165&lt;&gt;"",(_xlfn.XLOOKUP(C165,kengetallen_materialen!A$22:A$40,kengetallen_materialen!B$22:B$40))*D165*E165,""))</f>
        <v>224.45070422535215</v>
      </c>
      <c r="G165" s="75">
        <f>IF(C165&lt;&gt;"",(_xlfn.XLOOKUP(B165,kengetallen_materialen!A$16:E$16,kengetallen_materialen!A$17:E$17))*D165*E165,"")</f>
        <v>418.56000000000006</v>
      </c>
      <c r="H165" s="104">
        <f t="shared" si="15"/>
        <v>194.1092957746479</v>
      </c>
      <c r="J165" s="125" t="str">
        <f t="shared" si="16"/>
        <v/>
      </c>
      <c r="K165" s="110">
        <v>0</v>
      </c>
      <c r="L165" s="110">
        <v>0</v>
      </c>
      <c r="M165" s="110">
        <v>0</v>
      </c>
      <c r="N165" s="110">
        <v>0</v>
      </c>
    </row>
    <row r="166" spans="1:14" hidden="1" outlineLevel="1" x14ac:dyDescent="0.3">
      <c r="A166" s="71">
        <v>8</v>
      </c>
      <c r="B166" s="66" t="s">
        <v>180</v>
      </c>
      <c r="C166" s="66" t="s">
        <v>224</v>
      </c>
      <c r="D166" s="66">
        <v>40</v>
      </c>
      <c r="E166" s="67">
        <v>3.5</v>
      </c>
      <c r="F166" s="102">
        <f>IF(C166="Anders","Neem contact op met VBS",IF(C166&lt;&gt;"",(_xlfn.XLOOKUP(C166,kengetallen_materialen!A$22:A$40,kengetallen_materialen!B$22:B$40))*D166*E166,""))</f>
        <v>49.599999999999994</v>
      </c>
      <c r="G166" s="75">
        <f>IF(C166&lt;&gt;"",(_xlfn.XLOOKUP(B166,kengetallen_materialen!A$16:E$16,kengetallen_materialen!A$17:E$17))*D166*E166,"")</f>
        <v>351.5591570733381</v>
      </c>
      <c r="H166" s="104">
        <f t="shared" si="15"/>
        <v>301.95915707333813</v>
      </c>
      <c r="J166" s="125" t="str">
        <f t="shared" si="16"/>
        <v/>
      </c>
      <c r="K166" s="112" t="s">
        <v>339</v>
      </c>
    </row>
    <row r="167" spans="1:14" hidden="1" outlineLevel="1" x14ac:dyDescent="0.3">
      <c r="A167" s="71">
        <v>8</v>
      </c>
      <c r="B167" s="66" t="s">
        <v>179</v>
      </c>
      <c r="C167" s="66" t="s">
        <v>138</v>
      </c>
      <c r="D167" s="66">
        <v>20</v>
      </c>
      <c r="E167" s="67">
        <f>1/0.4</f>
        <v>2.5</v>
      </c>
      <c r="F167" s="102">
        <f>IF(C167="Anders","Neem contact op met VBS",IF(C167&lt;&gt;"",(_xlfn.XLOOKUP(C167,kengetallen_materialen!A$22:A$40,kengetallen_materialen!B$22:B$40))*D167*E167,""))</f>
        <v>2618</v>
      </c>
      <c r="G167" s="75">
        <f>IF(C167&lt;&gt;"",(_xlfn.XLOOKUP(B167,kengetallen_materialen!A$16:E$16,kengetallen_materialen!A$17:E$17))*D167*E167,"")</f>
        <v>5190.0422245108148</v>
      </c>
      <c r="H167" s="104">
        <f t="shared" si="15"/>
        <v>2572.0422245108148</v>
      </c>
      <c r="J167" s="125" t="str">
        <f t="shared" si="16"/>
        <v>Vervanging na 15 jaar</v>
      </c>
      <c r="K167" s="112" t="s">
        <v>384</v>
      </c>
    </row>
    <row r="168" spans="1:14" hidden="1" outlineLevel="1" x14ac:dyDescent="0.3">
      <c r="A168" s="71">
        <v>8</v>
      </c>
      <c r="B168" s="66" t="s">
        <v>135</v>
      </c>
      <c r="C168" s="66" t="s">
        <v>128</v>
      </c>
      <c r="D168" s="66">
        <v>20</v>
      </c>
      <c r="E168" s="67">
        <f>1/2.4</f>
        <v>0.41666666666666669</v>
      </c>
      <c r="F168" s="102">
        <f>IF(C168="Anders","Neem contact op met VBS",IF(C168&lt;&gt;"",(_xlfn.XLOOKUP(C168,kengetallen_materialen!A$22:A$40,kengetallen_materialen!B$22:B$40))*D168*E168,""))</f>
        <v>-3370.08</v>
      </c>
      <c r="G168" s="75">
        <f>IF(C168&lt;&gt;"",(_xlfn.XLOOKUP(B168,kengetallen_materialen!A$16:E$16,kengetallen_materialen!A$17:E$17))*D168*E168,"")</f>
        <v>-697.63079999999991</v>
      </c>
      <c r="H168" s="104">
        <f t="shared" si="15"/>
        <v>2672.4492</v>
      </c>
      <c r="J168" s="125" t="str">
        <f t="shared" si="16"/>
        <v/>
      </c>
    </row>
    <row r="169" spans="1:14" hidden="1" outlineLevel="1" x14ac:dyDescent="0.3">
      <c r="A169" s="71">
        <v>8</v>
      </c>
      <c r="B169" s="66"/>
      <c r="C169" s="66"/>
      <c r="D169" s="66"/>
      <c r="E169" s="67"/>
      <c r="F169" s="102" t="str">
        <f>IF(C169="Anders","Neem contact op met VBS",IF(C169&lt;&gt;"",(_xlfn.XLOOKUP(C169,kengetallen_materialen!A$22:A$40,kengetallen_materialen!B$22:B$40))*D169*E169,""))</f>
        <v/>
      </c>
      <c r="G169" s="75" t="str">
        <f>IF(C169&lt;&gt;"",(_xlfn.XLOOKUP(B169,kengetallen_materialen!A$16:E$16,kengetallen_materialen!A$17:E$17))*D169*E169,"")</f>
        <v/>
      </c>
      <c r="H169" s="104" t="str">
        <f t="shared" si="15"/>
        <v/>
      </c>
      <c r="J169" s="125" t="str">
        <f t="shared" si="16"/>
        <v/>
      </c>
    </row>
    <row r="170" spans="1:14" hidden="1" outlineLevel="1" x14ac:dyDescent="0.3">
      <c r="A170" s="71">
        <v>8</v>
      </c>
      <c r="B170" s="66"/>
      <c r="C170" s="66"/>
      <c r="D170" s="66"/>
      <c r="E170" s="67"/>
      <c r="F170" s="102" t="str">
        <f>IF(C170="Anders","Neem contact op met VBS",IF(C170&lt;&gt;"",(_xlfn.XLOOKUP(C170,kengetallen_materialen!A$22:A$40,kengetallen_materialen!B$22:B$40))*D170*E170,""))</f>
        <v/>
      </c>
      <c r="G170" s="75" t="str">
        <f>IF(C170&lt;&gt;"",(_xlfn.XLOOKUP(B170,kengetallen_materialen!A$16:E$16,kengetallen_materialen!A$17:E$17))*D170*E170,"")</f>
        <v/>
      </c>
      <c r="H170" s="104" t="str">
        <f t="shared" si="15"/>
        <v/>
      </c>
      <c r="J170" s="125" t="str">
        <f t="shared" si="16"/>
        <v/>
      </c>
    </row>
    <row r="171" spans="1:14" hidden="1" outlineLevel="1" x14ac:dyDescent="0.3">
      <c r="A171" s="71">
        <v>8</v>
      </c>
      <c r="B171" s="66"/>
      <c r="C171" s="66"/>
      <c r="D171" s="66"/>
      <c r="E171" s="67"/>
      <c r="F171" s="102" t="str">
        <f>IF(C171="Anders","Neem contact op met VBS",IF(C171&lt;&gt;"",(_xlfn.XLOOKUP(C171,kengetallen_materialen!A$22:A$40,kengetallen_materialen!B$22:B$40))*D171*E171,""))</f>
        <v/>
      </c>
      <c r="G171" s="75" t="str">
        <f>IF(C171&lt;&gt;"",(_xlfn.XLOOKUP(B171,kengetallen_materialen!A$16:E$16,kengetallen_materialen!A$17:E$17))*D171*E171,"")</f>
        <v/>
      </c>
      <c r="H171" s="104" t="str">
        <f t="shared" si="15"/>
        <v/>
      </c>
      <c r="J171" s="125" t="str">
        <f t="shared" si="16"/>
        <v/>
      </c>
    </row>
    <row r="172" spans="1:14" hidden="1" outlineLevel="1" x14ac:dyDescent="0.3">
      <c r="A172" s="71">
        <v>8</v>
      </c>
      <c r="B172" s="66"/>
      <c r="C172" s="66"/>
      <c r="D172" s="66"/>
      <c r="E172" s="67"/>
      <c r="F172" s="102" t="str">
        <f>IF(C172="Anders","Neem contact op met VBS",IF(C172&lt;&gt;"",(_xlfn.XLOOKUP(C172,kengetallen_materialen!A$22:A$40,kengetallen_materialen!B$22:B$40))*D172*E172,""))</f>
        <v/>
      </c>
      <c r="G172" s="75" t="str">
        <f>IF(C172&lt;&gt;"",(_xlfn.XLOOKUP(B172,kengetallen_materialen!A$16:E$16,kengetallen_materialen!A$17:E$17))*D172*E172,"")</f>
        <v/>
      </c>
      <c r="H172" s="104" t="str">
        <f t="shared" si="15"/>
        <v/>
      </c>
      <c r="J172" s="125" t="str">
        <f t="shared" si="16"/>
        <v/>
      </c>
    </row>
    <row r="173" spans="1:14" hidden="1" outlineLevel="1" x14ac:dyDescent="0.3">
      <c r="A173" s="71">
        <v>8</v>
      </c>
      <c r="B173" s="72" t="s">
        <v>177</v>
      </c>
      <c r="C173" s="72" t="s">
        <v>187</v>
      </c>
    </row>
    <row r="174" spans="1:14" hidden="1" outlineLevel="1" x14ac:dyDescent="0.3">
      <c r="A174" s="71">
        <v>8</v>
      </c>
      <c r="B174" s="66" t="s">
        <v>112</v>
      </c>
      <c r="C174" s="66">
        <v>1</v>
      </c>
      <c r="F174" s="104">
        <f>IF(B174&lt;&gt;"",(_xlfn.XLOOKUP(B174,kengetallen_materialen!A$93:A$95,kengetallen_materialen!B$93:B$95))*2,"")</f>
        <v>674</v>
      </c>
      <c r="G174" s="76">
        <f>IF(B174&lt;&gt;"",kengetallen_materialen!$B$96*2*C174,"")</f>
        <v>529.61111111111109</v>
      </c>
      <c r="H174" s="104">
        <f>IF(B174&lt;&gt;"",G174-F174,"")</f>
        <v>-144.38888888888891</v>
      </c>
      <c r="J174" s="125" t="str">
        <f>IF(B174&lt;&gt;"",(_xlfn.XLOOKUP(B174,kengetallen_materialen!A$93:A$95,kengetallen_materialen!F$93:F$95)),"")</f>
        <v>Vervanging na 15 jaar</v>
      </c>
    </row>
    <row r="175" spans="1:14" hidden="1" outlineLevel="1" x14ac:dyDescent="0.3">
      <c r="A175" s="71">
        <v>8</v>
      </c>
      <c r="B175" s="66"/>
      <c r="C175" s="66"/>
      <c r="E175" s="65" t="str">
        <f>IF(C170&lt;&gt;"",(_xlfn.XLOOKUP(B175,kengetallen_materialen!A$93:A$95,kengetallen_materialen!F$93:F$95)),"")</f>
        <v/>
      </c>
      <c r="F175" s="104" t="str">
        <f>IF(B175&lt;&gt;"",(_xlfn.XLOOKUP(B175,kengetallen_materialen!A$93:A$95,kengetallen_materialen!B$93:B$95))*2,"")</f>
        <v/>
      </c>
      <c r="G175" s="76"/>
      <c r="H175" s="104" t="str">
        <f>IF(B175&lt;&gt;"",G175-F175,"")</f>
        <v/>
      </c>
      <c r="J175" s="125" t="str">
        <f>IF(B175&lt;&gt;"",(_xlfn.XLOOKUP(B175,kengetallen_materialen!A$93:A$95,kengetallen_materialen!F$93:F$95)),"")</f>
        <v/>
      </c>
    </row>
    <row r="176" spans="1:14" hidden="1" outlineLevel="1" x14ac:dyDescent="0.3">
      <c r="A176" s="71">
        <v>8</v>
      </c>
      <c r="B176" s="66"/>
      <c r="C176" s="66"/>
      <c r="E176" s="65" t="str">
        <f>IF(C171&lt;&gt;"",(_xlfn.XLOOKUP(B176,kengetallen_materialen!A$93:A$95,kengetallen_materialen!F$93:F$95)),"")</f>
        <v/>
      </c>
      <c r="F176" s="104" t="str">
        <f>IF(B176&lt;&gt;"",(_xlfn.XLOOKUP(B176,kengetallen_materialen!A$93:A$95,kengetallen_materialen!B$93:B$95))*2,"")</f>
        <v/>
      </c>
      <c r="G176" s="76"/>
      <c r="H176" s="104" t="str">
        <f>IF(B176&lt;&gt;"",G176-F176,"")</f>
        <v/>
      </c>
      <c r="J176" s="125" t="str">
        <f>IF(B176&lt;&gt;"",(_xlfn.XLOOKUP(B176,kengetallen_materialen!A$93:A$95,kengetallen_materialen!F$93:F$95)),"")</f>
        <v/>
      </c>
    </row>
    <row r="177" spans="1:14" ht="39" hidden="1" outlineLevel="1" x14ac:dyDescent="0.3">
      <c r="A177" s="71">
        <v>8</v>
      </c>
      <c r="B177" s="72" t="s">
        <v>178</v>
      </c>
      <c r="C177" s="72" t="s">
        <v>161</v>
      </c>
      <c r="D177" s="72" t="s">
        <v>186</v>
      </c>
      <c r="E177" s="73" t="s">
        <v>185</v>
      </c>
    </row>
    <row r="178" spans="1:14" hidden="1" outlineLevel="1" x14ac:dyDescent="0.3">
      <c r="A178" s="71">
        <v>8</v>
      </c>
      <c r="B178" s="66" t="s">
        <v>174</v>
      </c>
      <c r="C178" s="66" t="s">
        <v>157</v>
      </c>
      <c r="D178" s="66">
        <v>100</v>
      </c>
      <c r="E178" s="66">
        <v>1</v>
      </c>
      <c r="F178" s="104">
        <f>IF(B178&lt;&gt;"",((_xlfn.XLOOKUP(C178,kengetallen_materialen!A$60:A$69,kengetallen_materialen!B$60:B$69))*2*E178)+kengetallen_materialen!B$71*(D178-E178),"")</f>
        <v>2800.97</v>
      </c>
      <c r="G178" s="76">
        <f>IF(B178&lt;&gt;"",IF(B178="Gasketel",F178,kengetallen_materialen!E$112),"")</f>
        <v>485.63</v>
      </c>
      <c r="H178" s="104">
        <f>IF(B178&lt;&gt;"",G178-F178,"")</f>
        <v>-2315.3399999999997</v>
      </c>
      <c r="J178" s="125" t="str">
        <f>IF(B178&lt;&gt;"","Vervanging na 15 jaar","")</f>
        <v>Vervanging na 15 jaar</v>
      </c>
    </row>
    <row r="179" spans="1:14" hidden="1" outlineLevel="1" x14ac:dyDescent="0.3">
      <c r="A179" s="71">
        <v>8</v>
      </c>
      <c r="B179" s="66"/>
      <c r="C179" s="66"/>
      <c r="D179" s="66"/>
      <c r="E179" s="66"/>
      <c r="F179" s="104" t="str">
        <f>IF(B179&lt;&gt;"",((_xlfn.XLOOKUP(C179,kengetallen_materialen!A$60:A$69,kengetallen_materialen!B$60:B$69))*2*E179)+kengetallen_materialen!B$71*(D179-E179),"")</f>
        <v/>
      </c>
      <c r="G179" s="76" t="str">
        <f>IF(B179&lt;&gt;"",kengetallen_materialen!E$112,"")</f>
        <v/>
      </c>
      <c r="H179" s="104" t="str">
        <f>IF(B179&lt;&gt;"",G179-F179,"")</f>
        <v/>
      </c>
      <c r="J179" s="125" t="str">
        <f>IF(B179&lt;&gt;"","Vervanging na 15 jaar","")</f>
        <v/>
      </c>
    </row>
    <row r="180" spans="1:14" hidden="1" outlineLevel="1" x14ac:dyDescent="0.3">
      <c r="A180" s="71">
        <v>8</v>
      </c>
      <c r="B180" s="66"/>
      <c r="C180" s="66"/>
      <c r="D180" s="66"/>
      <c r="E180" s="66"/>
      <c r="F180" s="104" t="str">
        <f>IF(B180&lt;&gt;"",((_xlfn.XLOOKUP(C180,kengetallen_materialen!A$60:A$69,kengetallen_materialen!B$60:B$69))*2*E180)+kengetallen_materialen!B$71*(D180-E180),"")</f>
        <v/>
      </c>
      <c r="G180" s="76" t="str">
        <f>IF(B180&lt;&gt;"",kengetallen_materialen!E$112,"")</f>
        <v/>
      </c>
      <c r="H180" s="104" t="str">
        <f>IF(B180&lt;&gt;"",G180-F180,"")</f>
        <v/>
      </c>
      <c r="J180" s="125" t="str">
        <f>IF(B180&lt;&gt;"","Vervanging na 15 jaar","")</f>
        <v/>
      </c>
    </row>
    <row r="181" spans="1:14" hidden="1" outlineLevel="1" x14ac:dyDescent="0.3">
      <c r="A181" s="71">
        <v>8</v>
      </c>
      <c r="B181" s="72" t="s">
        <v>108</v>
      </c>
      <c r="C181" s="72" t="s">
        <v>184</v>
      </c>
    </row>
    <row r="182" spans="1:14" hidden="1" outlineLevel="1" x14ac:dyDescent="0.3">
      <c r="A182" s="71">
        <v>8</v>
      </c>
      <c r="B182" s="66" t="s">
        <v>101</v>
      </c>
      <c r="C182" s="68">
        <v>5000</v>
      </c>
      <c r="F182" s="104">
        <f>IF(B182&lt;&gt;0,VLOOKUP(B182,kengetallen_materialen!$A$100:$B$104,2)*C182/1000,"")</f>
        <v>3275.0397456279807</v>
      </c>
      <c r="G182" s="76">
        <f>IF(B182&lt;&gt;0,IF(B182=kengetallen_materialen!$A$104,kengetallen_materialen!B$104*C182/1000,kengetallen_materialen!B$105*C182/1000),"")</f>
        <v>4248.6112409987845</v>
      </c>
      <c r="H182" s="104">
        <f>IF(B182&lt;&gt;0,G182-F182,"")</f>
        <v>973.57149537080386</v>
      </c>
      <c r="J182" s="125" t="str">
        <f>IF(B182="Standaard omvormer","Vervanging na 15 jaar","")</f>
        <v/>
      </c>
    </row>
    <row r="183" spans="1:14" hidden="1" outlineLevel="1" x14ac:dyDescent="0.3">
      <c r="A183" s="71">
        <v>8</v>
      </c>
      <c r="B183" s="66" t="s">
        <v>98</v>
      </c>
      <c r="C183" s="68">
        <v>5000</v>
      </c>
      <c r="F183" s="104">
        <f>IF(B183&lt;&gt;0,VLOOKUP(B183,kengetallen_materialen!$A$100:$B$104,2)*C183/1000,"")</f>
        <v>944</v>
      </c>
      <c r="G183" s="76">
        <f>IF(B183&lt;&gt;0,IF(B183=kengetallen_materialen!$A$104,kengetallen_materialen!B$104*C183/1000,kengetallen_materialen!B$105*C183/1000),"")</f>
        <v>944</v>
      </c>
      <c r="H183" s="104">
        <f>IF(B183&lt;&gt;0,G183-F183,"")</f>
        <v>0</v>
      </c>
      <c r="J183" s="125" t="str">
        <f>IF(B183="Standaard omvormer","Vervanging na 15 jaar","")</f>
        <v>Vervanging na 15 jaar</v>
      </c>
    </row>
    <row r="184" spans="1:14" hidden="1" outlineLevel="1" x14ac:dyDescent="0.3">
      <c r="A184" s="71">
        <v>8</v>
      </c>
      <c r="B184" s="66"/>
      <c r="C184" s="68"/>
      <c r="F184" s="104" t="str">
        <f>IF(B184&lt;&gt;0,VLOOKUP(B184,kengetallen_materialen!$A$100:$B$104,2)*C184/1000,"")</f>
        <v/>
      </c>
      <c r="G184" s="76" t="str">
        <f>IF(B184&lt;&gt;0,IF(B184=kengetallen_materialen!$A$104,kengetallen_materialen!B$104*C184/1000,kengetallen_materialen!B$105*C184/1000),"")</f>
        <v/>
      </c>
      <c r="H184" s="104" t="str">
        <f>IF(B184&lt;&gt;0,G184-F184,"")</f>
        <v/>
      </c>
      <c r="J184" s="125" t="str">
        <f>IF(B184="Standaard omvormer","Vervanging na 15 jaar","")</f>
        <v/>
      </c>
    </row>
    <row r="185" spans="1:14" ht="28" hidden="1" outlineLevel="1" x14ac:dyDescent="0.5">
      <c r="A185" s="107"/>
      <c r="B185" s="108" t="s">
        <v>247</v>
      </c>
      <c r="C185" s="107"/>
      <c r="D185" s="107"/>
      <c r="E185" s="107"/>
      <c r="F185" s="109" t="s">
        <v>204</v>
      </c>
      <c r="G185" s="109" t="s">
        <v>205</v>
      </c>
      <c r="H185" s="109" t="s">
        <v>206</v>
      </c>
      <c r="K185" s="79" t="s">
        <v>337</v>
      </c>
      <c r="L185" s="10"/>
      <c r="M185" s="10"/>
      <c r="N185" s="10"/>
    </row>
    <row r="186" spans="1:14" hidden="1" outlineLevel="1" x14ac:dyDescent="0.3">
      <c r="A186" s="71">
        <v>9</v>
      </c>
      <c r="B186" s="72" t="s">
        <v>191</v>
      </c>
      <c r="C186" s="72" t="s">
        <v>190</v>
      </c>
      <c r="D186" s="72" t="s">
        <v>189</v>
      </c>
      <c r="E186" s="72" t="s">
        <v>188</v>
      </c>
      <c r="F186" s="101"/>
      <c r="G186" s="74"/>
      <c r="H186" s="101"/>
      <c r="K186" s="3" t="s">
        <v>8</v>
      </c>
      <c r="L186" s="3" t="s">
        <v>11</v>
      </c>
      <c r="M186" s="3" t="s">
        <v>9</v>
      </c>
      <c r="N186" s="3" t="s">
        <v>10</v>
      </c>
    </row>
    <row r="187" spans="1:14" hidden="1" outlineLevel="1" x14ac:dyDescent="0.3">
      <c r="A187" s="71">
        <v>9</v>
      </c>
      <c r="B187" s="66" t="s">
        <v>181</v>
      </c>
      <c r="C187" s="66" t="s">
        <v>169</v>
      </c>
      <c r="D187" s="66">
        <v>40</v>
      </c>
      <c r="E187" s="67">
        <v>6</v>
      </c>
      <c r="F187" s="102">
        <f>IF(C187="Anders","Neem contact op met VBS",IF(C187&lt;&gt;"",(_xlfn.XLOOKUP(C187,kengetallen_materialen!A$22:A$40,kengetallen_materialen!B$22:B$40))*D187*E187,""))</f>
        <v>175.77464788732394</v>
      </c>
      <c r="G187" s="75">
        <f>IF(C187&lt;&gt;"",(_xlfn.XLOOKUP(B187,kengetallen_materialen!A$16:E$16,kengetallen_materialen!A$17:E$17))*D187*E187,"")</f>
        <v>602.67284069715106</v>
      </c>
      <c r="H187" s="104">
        <f t="shared" ref="H187:H195" si="17">IF(C187="Anders","Neem contact op met VBS",IF(B187&lt;&gt;"",G187-F187,""))</f>
        <v>426.89819280982715</v>
      </c>
      <c r="J187" s="125" t="str">
        <f t="shared" ref="J187:J195" si="18">IF(B187="Isolatieglas", "Vervanging na 15 jaar","")</f>
        <v/>
      </c>
      <c r="K187" s="5" t="s">
        <v>251</v>
      </c>
      <c r="L187" s="5" t="s">
        <v>253</v>
      </c>
      <c r="M187" s="5" t="s">
        <v>252</v>
      </c>
      <c r="N187" s="5" t="s">
        <v>252</v>
      </c>
    </row>
    <row r="188" spans="1:14" hidden="1" outlineLevel="1" x14ac:dyDescent="0.3">
      <c r="A188" s="71">
        <v>9</v>
      </c>
      <c r="B188" s="66" t="s">
        <v>182</v>
      </c>
      <c r="C188" s="66" t="s">
        <v>171</v>
      </c>
      <c r="D188" s="66">
        <v>48</v>
      </c>
      <c r="E188" s="67">
        <v>4</v>
      </c>
      <c r="F188" s="102">
        <f>IF(C188="Anders","Neem contact op met VBS",IF(C188&lt;&gt;"",(_xlfn.XLOOKUP(C188,kengetallen_materialen!A$22:A$40,kengetallen_materialen!B$22:B$40))*D188*E188,""))</f>
        <v>224.45070422535215</v>
      </c>
      <c r="G188" s="75">
        <f>IF(C188&lt;&gt;"",(_xlfn.XLOOKUP(B188,kengetallen_materialen!A$16:E$16,kengetallen_materialen!A$17:E$17))*D188*E188,"")</f>
        <v>418.56000000000006</v>
      </c>
      <c r="H188" s="104">
        <f t="shared" si="17"/>
        <v>194.1092957746479</v>
      </c>
      <c r="J188" s="125" t="str">
        <f t="shared" si="18"/>
        <v/>
      </c>
      <c r="K188" s="110">
        <v>0</v>
      </c>
      <c r="L188" s="110">
        <v>0</v>
      </c>
      <c r="M188" s="110">
        <v>0</v>
      </c>
      <c r="N188" s="110">
        <v>0</v>
      </c>
    </row>
    <row r="189" spans="1:14" hidden="1" outlineLevel="1" x14ac:dyDescent="0.3">
      <c r="A189" s="71">
        <v>9</v>
      </c>
      <c r="B189" s="66" t="s">
        <v>180</v>
      </c>
      <c r="C189" s="66" t="s">
        <v>224</v>
      </c>
      <c r="D189" s="66">
        <v>40</v>
      </c>
      <c r="E189" s="67">
        <v>3.5</v>
      </c>
      <c r="F189" s="102">
        <f>IF(C189="Anders","Neem contact op met VBS",IF(C189&lt;&gt;"",(_xlfn.XLOOKUP(C189,kengetallen_materialen!A$22:A$40,kengetallen_materialen!B$22:B$40))*D189*E189,""))</f>
        <v>49.599999999999994</v>
      </c>
      <c r="G189" s="75">
        <f>IF(C189&lt;&gt;"",(_xlfn.XLOOKUP(B189,kengetallen_materialen!A$16:E$16,kengetallen_materialen!A$17:E$17))*D189*E189,"")</f>
        <v>351.5591570733381</v>
      </c>
      <c r="H189" s="104">
        <f t="shared" si="17"/>
        <v>301.95915707333813</v>
      </c>
      <c r="J189" s="125" t="str">
        <f t="shared" si="18"/>
        <v/>
      </c>
      <c r="K189" s="112" t="s">
        <v>339</v>
      </c>
    </row>
    <row r="190" spans="1:14" hidden="1" outlineLevel="1" x14ac:dyDescent="0.3">
      <c r="A190" s="71">
        <v>9</v>
      </c>
      <c r="B190" s="66" t="s">
        <v>179</v>
      </c>
      <c r="C190" s="66" t="s">
        <v>138</v>
      </c>
      <c r="D190" s="66">
        <v>20</v>
      </c>
      <c r="E190" s="67">
        <f>1/0.4</f>
        <v>2.5</v>
      </c>
      <c r="F190" s="102">
        <f>IF(C190="Anders","Neem contact op met VBS",IF(C190&lt;&gt;"",(_xlfn.XLOOKUP(C190,kengetallen_materialen!A$22:A$40,kengetallen_materialen!B$22:B$40))*D190*E190,""))</f>
        <v>2618</v>
      </c>
      <c r="G190" s="75">
        <f>IF(C190&lt;&gt;"",(_xlfn.XLOOKUP(B190,kengetallen_materialen!A$16:E$16,kengetallen_materialen!A$17:E$17))*D190*E190,"")</f>
        <v>5190.0422245108148</v>
      </c>
      <c r="H190" s="104">
        <f t="shared" si="17"/>
        <v>2572.0422245108148</v>
      </c>
      <c r="J190" s="125" t="str">
        <f t="shared" si="18"/>
        <v>Vervanging na 15 jaar</v>
      </c>
      <c r="K190" s="112" t="s">
        <v>384</v>
      </c>
    </row>
    <row r="191" spans="1:14" hidden="1" outlineLevel="1" x14ac:dyDescent="0.3">
      <c r="A191" s="71">
        <v>9</v>
      </c>
      <c r="B191" s="66" t="s">
        <v>135</v>
      </c>
      <c r="C191" s="66" t="s">
        <v>128</v>
      </c>
      <c r="D191" s="66">
        <v>20</v>
      </c>
      <c r="E191" s="67">
        <f>1/2.4</f>
        <v>0.41666666666666669</v>
      </c>
      <c r="F191" s="102">
        <f>IF(C191="Anders","Neem contact op met VBS",IF(C191&lt;&gt;"",(_xlfn.XLOOKUP(C191,kengetallen_materialen!A$22:A$40,kengetallen_materialen!B$22:B$40))*D191*E191,""))</f>
        <v>-3370.08</v>
      </c>
      <c r="G191" s="75">
        <f>IF(C191&lt;&gt;"",(_xlfn.XLOOKUP(B191,kengetallen_materialen!A$16:E$16,kengetallen_materialen!A$17:E$17))*D191*E191,"")</f>
        <v>-697.63079999999991</v>
      </c>
      <c r="H191" s="104">
        <f t="shared" si="17"/>
        <v>2672.4492</v>
      </c>
      <c r="J191" s="125" t="str">
        <f t="shared" si="18"/>
        <v/>
      </c>
    </row>
    <row r="192" spans="1:14" hidden="1" outlineLevel="1" x14ac:dyDescent="0.3">
      <c r="A192" s="71">
        <v>9</v>
      </c>
      <c r="B192" s="66"/>
      <c r="C192" s="66"/>
      <c r="D192" s="66"/>
      <c r="E192" s="67"/>
      <c r="F192" s="102" t="str">
        <f>IF(C192="Anders","Neem contact op met VBS",IF(C192&lt;&gt;"",(_xlfn.XLOOKUP(C192,kengetallen_materialen!A$22:A$40,kengetallen_materialen!B$22:B$40))*D192*E192,""))</f>
        <v/>
      </c>
      <c r="G192" s="75" t="str">
        <f>IF(C192&lt;&gt;"",(_xlfn.XLOOKUP(B192,kengetallen_materialen!A$16:E$16,kengetallen_materialen!A$17:E$17))*D192*E192,"")</f>
        <v/>
      </c>
      <c r="H192" s="104" t="str">
        <f t="shared" si="17"/>
        <v/>
      </c>
      <c r="J192" s="125" t="str">
        <f t="shared" si="18"/>
        <v/>
      </c>
    </row>
    <row r="193" spans="1:14" hidden="1" outlineLevel="1" x14ac:dyDescent="0.3">
      <c r="A193" s="71">
        <v>9</v>
      </c>
      <c r="B193" s="66"/>
      <c r="C193" s="66"/>
      <c r="D193" s="66"/>
      <c r="E193" s="67"/>
      <c r="F193" s="102" t="str">
        <f>IF(C193="Anders","Neem contact op met VBS",IF(C193&lt;&gt;"",(_xlfn.XLOOKUP(C193,kengetallen_materialen!A$22:A$40,kengetallen_materialen!B$22:B$40))*D193*E193,""))</f>
        <v/>
      </c>
      <c r="G193" s="75" t="str">
        <f>IF(C193&lt;&gt;"",(_xlfn.XLOOKUP(B193,kengetallen_materialen!A$16:E$16,kengetallen_materialen!A$17:E$17))*D193*E193,"")</f>
        <v/>
      </c>
      <c r="H193" s="104" t="str">
        <f t="shared" si="17"/>
        <v/>
      </c>
      <c r="J193" s="125" t="str">
        <f t="shared" si="18"/>
        <v/>
      </c>
    </row>
    <row r="194" spans="1:14" hidden="1" outlineLevel="1" x14ac:dyDescent="0.3">
      <c r="A194" s="71">
        <v>9</v>
      </c>
      <c r="B194" s="66"/>
      <c r="C194" s="66"/>
      <c r="D194" s="66"/>
      <c r="E194" s="67"/>
      <c r="F194" s="102" t="str">
        <f>IF(C194="Anders","Neem contact op met VBS",IF(C194&lt;&gt;"",(_xlfn.XLOOKUP(C194,kengetallen_materialen!A$22:A$40,kengetallen_materialen!B$22:B$40))*D194*E194,""))</f>
        <v/>
      </c>
      <c r="G194" s="75" t="str">
        <f>IF(C194&lt;&gt;"",(_xlfn.XLOOKUP(B194,kengetallen_materialen!A$16:E$16,kengetallen_materialen!A$17:E$17))*D194*E194,"")</f>
        <v/>
      </c>
      <c r="H194" s="104" t="str">
        <f t="shared" si="17"/>
        <v/>
      </c>
      <c r="J194" s="125" t="str">
        <f t="shared" si="18"/>
        <v/>
      </c>
    </row>
    <row r="195" spans="1:14" hidden="1" outlineLevel="1" x14ac:dyDescent="0.3">
      <c r="A195" s="71">
        <v>9</v>
      </c>
      <c r="B195" s="66"/>
      <c r="C195" s="66"/>
      <c r="D195" s="66"/>
      <c r="E195" s="67"/>
      <c r="F195" s="102" t="str">
        <f>IF(C195="Anders","Neem contact op met VBS",IF(C195&lt;&gt;"",(_xlfn.XLOOKUP(C195,kengetallen_materialen!A$22:A$40,kengetallen_materialen!B$22:B$40))*D195*E195,""))</f>
        <v/>
      </c>
      <c r="G195" s="75" t="str">
        <f>IF(C195&lt;&gt;"",(_xlfn.XLOOKUP(B195,kengetallen_materialen!A$16:E$16,kengetallen_materialen!A$17:E$17))*D195*E195,"")</f>
        <v/>
      </c>
      <c r="H195" s="104" t="str">
        <f t="shared" si="17"/>
        <v/>
      </c>
      <c r="J195" s="125" t="str">
        <f t="shared" si="18"/>
        <v/>
      </c>
    </row>
    <row r="196" spans="1:14" hidden="1" outlineLevel="1" x14ac:dyDescent="0.3">
      <c r="A196" s="71">
        <v>9</v>
      </c>
      <c r="B196" s="72" t="s">
        <v>177</v>
      </c>
      <c r="C196" s="72" t="s">
        <v>187</v>
      </c>
    </row>
    <row r="197" spans="1:14" hidden="1" outlineLevel="1" x14ac:dyDescent="0.3">
      <c r="A197" s="71">
        <v>9</v>
      </c>
      <c r="B197" s="66" t="s">
        <v>112</v>
      </c>
      <c r="C197" s="66">
        <v>1</v>
      </c>
      <c r="F197" s="104">
        <f>IF(B197&lt;&gt;"",(_xlfn.XLOOKUP(B197,kengetallen_materialen!A$93:A$95,kengetallen_materialen!B$93:B$95))*2,"")</f>
        <v>674</v>
      </c>
      <c r="G197" s="76">
        <f>IF(B197&lt;&gt;"",kengetallen_materialen!$B$96*2*C197,"")</f>
        <v>529.61111111111109</v>
      </c>
      <c r="H197" s="104">
        <f>IF(B197&lt;&gt;"",G197-F197,"")</f>
        <v>-144.38888888888891</v>
      </c>
      <c r="J197" s="125" t="str">
        <f>IF(B197&lt;&gt;"",(_xlfn.XLOOKUP(B197,kengetallen_materialen!A$93:A$95,kengetallen_materialen!F$93:F$95)),"")</f>
        <v>Vervanging na 15 jaar</v>
      </c>
    </row>
    <row r="198" spans="1:14" hidden="1" outlineLevel="1" x14ac:dyDescent="0.3">
      <c r="A198" s="71">
        <v>9</v>
      </c>
      <c r="B198" s="66"/>
      <c r="C198" s="66"/>
      <c r="E198" s="65" t="str">
        <f>IF(C193&lt;&gt;"",(_xlfn.XLOOKUP(B198,kengetallen_materialen!A$93:A$95,kengetallen_materialen!F$93:F$95)),"")</f>
        <v/>
      </c>
      <c r="F198" s="104" t="str">
        <f>IF(B198&lt;&gt;"",(_xlfn.XLOOKUP(B198,kengetallen_materialen!A$93:A$95,kengetallen_materialen!B$93:B$95))*2,"")</f>
        <v/>
      </c>
      <c r="G198" s="76"/>
      <c r="H198" s="104" t="str">
        <f>IF(B198&lt;&gt;"",G198-F198,"")</f>
        <v/>
      </c>
      <c r="J198" s="125" t="str">
        <f>IF(B198&lt;&gt;"",(_xlfn.XLOOKUP(B198,kengetallen_materialen!A$93:A$95,kengetallen_materialen!F$93:F$95)),"")</f>
        <v/>
      </c>
    </row>
    <row r="199" spans="1:14" hidden="1" outlineLevel="1" x14ac:dyDescent="0.3">
      <c r="A199" s="71">
        <v>9</v>
      </c>
      <c r="B199" s="66"/>
      <c r="C199" s="66"/>
      <c r="E199" s="65" t="str">
        <f>IF(C194&lt;&gt;"",(_xlfn.XLOOKUP(B199,kengetallen_materialen!A$93:A$95,kengetallen_materialen!F$93:F$95)),"")</f>
        <v/>
      </c>
      <c r="F199" s="104" t="str">
        <f>IF(B199&lt;&gt;"",(_xlfn.XLOOKUP(B199,kengetallen_materialen!A$93:A$95,kengetallen_materialen!B$93:B$95))*2,"")</f>
        <v/>
      </c>
      <c r="G199" s="76"/>
      <c r="H199" s="104" t="str">
        <f>IF(B199&lt;&gt;"",G199-F199,"")</f>
        <v/>
      </c>
      <c r="J199" s="125" t="str">
        <f>IF(B199&lt;&gt;"",(_xlfn.XLOOKUP(B199,kengetallen_materialen!A$93:A$95,kengetallen_materialen!F$93:F$95)),"")</f>
        <v/>
      </c>
    </row>
    <row r="200" spans="1:14" ht="39" hidden="1" outlineLevel="1" x14ac:dyDescent="0.3">
      <c r="A200" s="71">
        <v>9</v>
      </c>
      <c r="B200" s="72" t="s">
        <v>178</v>
      </c>
      <c r="C200" s="72" t="s">
        <v>161</v>
      </c>
      <c r="D200" s="72" t="s">
        <v>186</v>
      </c>
      <c r="E200" s="73" t="s">
        <v>185</v>
      </c>
    </row>
    <row r="201" spans="1:14" hidden="1" outlineLevel="1" x14ac:dyDescent="0.3">
      <c r="A201" s="71">
        <v>9</v>
      </c>
      <c r="B201" s="66" t="s">
        <v>174</v>
      </c>
      <c r="C201" s="66" t="s">
        <v>157</v>
      </c>
      <c r="D201" s="66">
        <v>100</v>
      </c>
      <c r="E201" s="66">
        <v>1</v>
      </c>
      <c r="F201" s="104">
        <f>IF(B201&lt;&gt;"",((_xlfn.XLOOKUP(C201,kengetallen_materialen!A$60:A$69,kengetallen_materialen!B$60:B$69))*2*E201)+kengetallen_materialen!B$71*(D201-E201),"")</f>
        <v>2800.97</v>
      </c>
      <c r="G201" s="76">
        <f>IF(B201&lt;&gt;"",IF(B201="Gasketel",F201,kengetallen_materialen!E$112),"")</f>
        <v>485.63</v>
      </c>
      <c r="H201" s="104">
        <f>IF(B201&lt;&gt;"",G201-F201,"")</f>
        <v>-2315.3399999999997</v>
      </c>
      <c r="J201" s="125" t="str">
        <f>IF(B201&lt;&gt;"","Vervanging na 15 jaar","")</f>
        <v>Vervanging na 15 jaar</v>
      </c>
    </row>
    <row r="202" spans="1:14" hidden="1" outlineLevel="1" x14ac:dyDescent="0.3">
      <c r="A202" s="71">
        <v>9</v>
      </c>
      <c r="B202" s="66"/>
      <c r="C202" s="66"/>
      <c r="D202" s="66"/>
      <c r="E202" s="66"/>
      <c r="F202" s="104" t="str">
        <f>IF(B202&lt;&gt;"",((_xlfn.XLOOKUP(C202,kengetallen_materialen!A$60:A$69,kengetallen_materialen!B$60:B$69))*2*E202)+kengetallen_materialen!B$71*(D202-E202),"")</f>
        <v/>
      </c>
      <c r="G202" s="76" t="str">
        <f>IF(B202&lt;&gt;"",kengetallen_materialen!E$112,"")</f>
        <v/>
      </c>
      <c r="H202" s="104" t="str">
        <f>IF(B202&lt;&gt;"",G202-F202,"")</f>
        <v/>
      </c>
      <c r="J202" s="125" t="str">
        <f>IF(B202&lt;&gt;"","Vervanging na 15 jaar","")</f>
        <v/>
      </c>
    </row>
    <row r="203" spans="1:14" hidden="1" outlineLevel="1" x14ac:dyDescent="0.3">
      <c r="A203" s="71">
        <v>9</v>
      </c>
      <c r="B203" s="66"/>
      <c r="C203" s="66"/>
      <c r="D203" s="66"/>
      <c r="E203" s="66"/>
      <c r="F203" s="104" t="str">
        <f>IF(B203&lt;&gt;"",((_xlfn.XLOOKUP(C203,kengetallen_materialen!A$60:A$69,kengetallen_materialen!B$60:B$69))*2*E203)+kengetallen_materialen!B$71*(D203-E203),"")</f>
        <v/>
      </c>
      <c r="G203" s="76" t="str">
        <f>IF(B203&lt;&gt;"",kengetallen_materialen!E$112,"")</f>
        <v/>
      </c>
      <c r="H203" s="104" t="str">
        <f>IF(B203&lt;&gt;"",G203-F203,"")</f>
        <v/>
      </c>
      <c r="J203" s="125" t="str">
        <f>IF(B203&lt;&gt;"","Vervanging na 15 jaar","")</f>
        <v/>
      </c>
    </row>
    <row r="204" spans="1:14" hidden="1" outlineLevel="1" x14ac:dyDescent="0.3">
      <c r="A204" s="71">
        <v>9</v>
      </c>
      <c r="B204" s="72" t="s">
        <v>108</v>
      </c>
      <c r="C204" s="72" t="s">
        <v>184</v>
      </c>
    </row>
    <row r="205" spans="1:14" hidden="1" outlineLevel="1" x14ac:dyDescent="0.3">
      <c r="A205" s="71">
        <v>9</v>
      </c>
      <c r="B205" s="66" t="s">
        <v>101</v>
      </c>
      <c r="C205" s="68">
        <v>5000</v>
      </c>
      <c r="F205" s="104">
        <f>IF(B205&lt;&gt;0,VLOOKUP(B205,kengetallen_materialen!$A$100:$B$104,2)*C205/1000,"")</f>
        <v>3275.0397456279807</v>
      </c>
      <c r="G205" s="76">
        <f>IF(B205&lt;&gt;0,IF(B205=kengetallen_materialen!$A$104,kengetallen_materialen!B$104*C205/1000,kengetallen_materialen!B$105*C205/1000),"")</f>
        <v>4248.6112409987845</v>
      </c>
      <c r="H205" s="104">
        <f>IF(B205&lt;&gt;0,G205-F205,"")</f>
        <v>973.57149537080386</v>
      </c>
      <c r="J205" s="125" t="str">
        <f>IF(B205="Standaard omvormer","Vervanging na 15 jaar","")</f>
        <v/>
      </c>
    </row>
    <row r="206" spans="1:14" hidden="1" outlineLevel="1" x14ac:dyDescent="0.3">
      <c r="A206" s="71">
        <v>9</v>
      </c>
      <c r="B206" s="66" t="s">
        <v>98</v>
      </c>
      <c r="C206" s="68">
        <v>5000</v>
      </c>
      <c r="F206" s="104">
        <f>IF(B206&lt;&gt;0,VLOOKUP(B206,kengetallen_materialen!$A$100:$B$104,2)*C206/1000,"")</f>
        <v>944</v>
      </c>
      <c r="G206" s="76">
        <f>IF(B206&lt;&gt;0,IF(B206=kengetallen_materialen!$A$104,kengetallen_materialen!B$104*C206/1000,kengetallen_materialen!B$105*C206/1000),"")</f>
        <v>944</v>
      </c>
      <c r="H206" s="104">
        <f>IF(B206&lt;&gt;0,G206-F206,"")</f>
        <v>0</v>
      </c>
      <c r="J206" s="125" t="str">
        <f>IF(B206="Standaard omvormer","Vervanging na 15 jaar","")</f>
        <v>Vervanging na 15 jaar</v>
      </c>
    </row>
    <row r="207" spans="1:14" hidden="1" outlineLevel="1" x14ac:dyDescent="0.3">
      <c r="A207" s="71">
        <v>9</v>
      </c>
      <c r="B207" s="66"/>
      <c r="C207" s="68"/>
      <c r="F207" s="104" t="str">
        <f>IF(B207&lt;&gt;0,VLOOKUP(B207,kengetallen_materialen!$A$100:$B$104,2)*C207/1000,"")</f>
        <v/>
      </c>
      <c r="G207" s="76" t="str">
        <f>IF(B207&lt;&gt;0,IF(B207=kengetallen_materialen!$A$104,kengetallen_materialen!B$104*C207/1000,kengetallen_materialen!B$105*C207/1000),"")</f>
        <v/>
      </c>
      <c r="H207" s="104" t="str">
        <f>IF(B207&lt;&gt;0,G207-F207,"")</f>
        <v/>
      </c>
      <c r="J207" s="125" t="str">
        <f>IF(B207="Standaard omvormer","Vervanging na 15 jaar","")</f>
        <v/>
      </c>
    </row>
    <row r="208" spans="1:14" ht="28" hidden="1" outlineLevel="1" x14ac:dyDescent="0.5">
      <c r="A208" s="107"/>
      <c r="B208" s="108" t="s">
        <v>248</v>
      </c>
      <c r="C208" s="107"/>
      <c r="D208" s="107"/>
      <c r="E208" s="107"/>
      <c r="F208" s="109" t="s">
        <v>204</v>
      </c>
      <c r="G208" s="109" t="s">
        <v>205</v>
      </c>
      <c r="H208" s="109" t="s">
        <v>206</v>
      </c>
      <c r="K208" s="79" t="s">
        <v>337</v>
      </c>
      <c r="L208" s="10"/>
      <c r="M208" s="10"/>
      <c r="N208" s="10"/>
    </row>
    <row r="209" spans="1:14" hidden="1" outlineLevel="1" x14ac:dyDescent="0.3">
      <c r="A209" s="71">
        <v>10</v>
      </c>
      <c r="B209" s="72" t="s">
        <v>191</v>
      </c>
      <c r="C209" s="72" t="s">
        <v>190</v>
      </c>
      <c r="D209" s="72" t="s">
        <v>189</v>
      </c>
      <c r="E209" s="72" t="s">
        <v>188</v>
      </c>
      <c r="F209" s="101"/>
      <c r="G209" s="74"/>
      <c r="H209" s="101"/>
      <c r="K209" s="3" t="s">
        <v>8</v>
      </c>
      <c r="L209" s="3" t="s">
        <v>11</v>
      </c>
      <c r="M209" s="3" t="s">
        <v>9</v>
      </c>
      <c r="N209" s="3" t="s">
        <v>10</v>
      </c>
    </row>
    <row r="210" spans="1:14" hidden="1" outlineLevel="1" x14ac:dyDescent="0.3">
      <c r="A210" s="71">
        <v>10</v>
      </c>
      <c r="B210" s="66" t="s">
        <v>181</v>
      </c>
      <c r="C210" s="66" t="s">
        <v>169</v>
      </c>
      <c r="D210" s="66">
        <v>40</v>
      </c>
      <c r="E210" s="67">
        <v>6</v>
      </c>
      <c r="F210" s="102">
        <f>IF(C210="Anders","Neem contact op met VBS",IF(C210&lt;&gt;"",(_xlfn.XLOOKUP(C210,kengetallen_materialen!A$22:A$40,kengetallen_materialen!B$22:B$40))*D210*E210,""))</f>
        <v>175.77464788732394</v>
      </c>
      <c r="G210" s="75">
        <f>IF(C210&lt;&gt;"",(_xlfn.XLOOKUP(B210,kengetallen_materialen!A$16:E$16,kengetallen_materialen!A$17:E$17))*D210*E210,"")</f>
        <v>602.67284069715106</v>
      </c>
      <c r="H210" s="104">
        <f t="shared" ref="H210:H218" si="19">IF(C210="Anders","Neem contact op met VBS",IF(B210&lt;&gt;"",G210-F210,""))</f>
        <v>426.89819280982715</v>
      </c>
      <c r="J210" s="125" t="str">
        <f t="shared" ref="J210:J218" si="20">IF(B210="Isolatieglas", "Vervanging na 15 jaar","")</f>
        <v/>
      </c>
      <c r="K210" s="5" t="s">
        <v>251</v>
      </c>
      <c r="L210" s="5" t="s">
        <v>253</v>
      </c>
      <c r="M210" s="5" t="s">
        <v>252</v>
      </c>
      <c r="N210" s="5" t="s">
        <v>252</v>
      </c>
    </row>
    <row r="211" spans="1:14" hidden="1" outlineLevel="1" x14ac:dyDescent="0.3">
      <c r="A211" s="71">
        <v>10</v>
      </c>
      <c r="B211" s="66" t="s">
        <v>182</v>
      </c>
      <c r="C211" s="66" t="s">
        <v>171</v>
      </c>
      <c r="D211" s="66">
        <v>48</v>
      </c>
      <c r="E211" s="67">
        <v>4</v>
      </c>
      <c r="F211" s="102">
        <f>IF(C211="Anders","Neem contact op met VBS",IF(C211&lt;&gt;"",(_xlfn.XLOOKUP(C211,kengetallen_materialen!A$22:A$40,kengetallen_materialen!B$22:B$40))*D211*E211,""))</f>
        <v>224.45070422535215</v>
      </c>
      <c r="G211" s="75">
        <f>IF(C211&lt;&gt;"",(_xlfn.XLOOKUP(B211,kengetallen_materialen!A$16:E$16,kengetallen_materialen!A$17:E$17))*D211*E211,"")</f>
        <v>418.56000000000006</v>
      </c>
      <c r="H211" s="104">
        <f t="shared" si="19"/>
        <v>194.1092957746479</v>
      </c>
      <c r="J211" s="125" t="str">
        <f t="shared" si="20"/>
        <v/>
      </c>
      <c r="K211" s="110">
        <v>0</v>
      </c>
      <c r="L211" s="110">
        <v>0</v>
      </c>
      <c r="M211" s="110">
        <v>0</v>
      </c>
      <c r="N211" s="110">
        <v>0</v>
      </c>
    </row>
    <row r="212" spans="1:14" hidden="1" outlineLevel="1" x14ac:dyDescent="0.3">
      <c r="A212" s="71">
        <v>10</v>
      </c>
      <c r="B212" s="66" t="s">
        <v>180</v>
      </c>
      <c r="C212" s="66" t="s">
        <v>224</v>
      </c>
      <c r="D212" s="66">
        <v>40</v>
      </c>
      <c r="E212" s="67">
        <v>3.5</v>
      </c>
      <c r="F212" s="102">
        <f>IF(C212="Anders","Neem contact op met VBS",IF(C212&lt;&gt;"",(_xlfn.XLOOKUP(C212,kengetallen_materialen!A$22:A$40,kengetallen_materialen!B$22:B$40))*D212*E212,""))</f>
        <v>49.599999999999994</v>
      </c>
      <c r="G212" s="75">
        <f>IF(C212&lt;&gt;"",(_xlfn.XLOOKUP(B212,kengetallen_materialen!A$16:E$16,kengetallen_materialen!A$17:E$17))*D212*E212,"")</f>
        <v>351.5591570733381</v>
      </c>
      <c r="H212" s="104">
        <f t="shared" si="19"/>
        <v>301.95915707333813</v>
      </c>
      <c r="J212" s="125" t="str">
        <f t="shared" si="20"/>
        <v/>
      </c>
      <c r="K212" s="112" t="s">
        <v>339</v>
      </c>
    </row>
    <row r="213" spans="1:14" hidden="1" outlineLevel="1" x14ac:dyDescent="0.3">
      <c r="A213" s="71">
        <v>10</v>
      </c>
      <c r="B213" s="66" t="s">
        <v>179</v>
      </c>
      <c r="C213" s="66" t="s">
        <v>138</v>
      </c>
      <c r="D213" s="66">
        <v>20</v>
      </c>
      <c r="E213" s="67">
        <f>1/0.4</f>
        <v>2.5</v>
      </c>
      <c r="F213" s="102">
        <f>IF(C213="Anders","Neem contact op met VBS",IF(C213&lt;&gt;"",(_xlfn.XLOOKUP(C213,kengetallen_materialen!A$22:A$40,kengetallen_materialen!B$22:B$40))*D213*E213,""))</f>
        <v>2618</v>
      </c>
      <c r="G213" s="75">
        <f>IF(C213&lt;&gt;"",(_xlfn.XLOOKUP(B213,kengetallen_materialen!A$16:E$16,kengetallen_materialen!A$17:E$17))*D213*E213,"")</f>
        <v>5190.0422245108148</v>
      </c>
      <c r="H213" s="104">
        <f t="shared" si="19"/>
        <v>2572.0422245108148</v>
      </c>
      <c r="J213" s="125" t="str">
        <f t="shared" si="20"/>
        <v>Vervanging na 15 jaar</v>
      </c>
      <c r="K213" s="112" t="s">
        <v>384</v>
      </c>
    </row>
    <row r="214" spans="1:14" hidden="1" outlineLevel="1" x14ac:dyDescent="0.3">
      <c r="A214" s="71">
        <v>10</v>
      </c>
      <c r="B214" s="66" t="s">
        <v>135</v>
      </c>
      <c r="C214" s="66" t="s">
        <v>128</v>
      </c>
      <c r="D214" s="66">
        <v>20</v>
      </c>
      <c r="E214" s="67">
        <f>1/2.4</f>
        <v>0.41666666666666669</v>
      </c>
      <c r="F214" s="102">
        <f>IF(C214="Anders","Neem contact op met VBS",IF(C214&lt;&gt;"",(_xlfn.XLOOKUP(C214,kengetallen_materialen!A$22:A$40,kengetallen_materialen!B$22:B$40))*D214*E214,""))</f>
        <v>-3370.08</v>
      </c>
      <c r="G214" s="75">
        <f>IF(C214&lt;&gt;"",(_xlfn.XLOOKUP(B214,kengetallen_materialen!A$16:E$16,kengetallen_materialen!A$17:E$17))*D214*E214,"")</f>
        <v>-697.63079999999991</v>
      </c>
      <c r="H214" s="104">
        <f t="shared" si="19"/>
        <v>2672.4492</v>
      </c>
      <c r="J214" s="125" t="str">
        <f t="shared" si="20"/>
        <v/>
      </c>
    </row>
    <row r="215" spans="1:14" hidden="1" outlineLevel="1" x14ac:dyDescent="0.3">
      <c r="A215" s="71">
        <v>10</v>
      </c>
      <c r="B215" s="66"/>
      <c r="C215" s="66"/>
      <c r="D215" s="66"/>
      <c r="E215" s="67"/>
      <c r="F215" s="102" t="str">
        <f>IF(C215="Anders","Neem contact op met VBS",IF(C215&lt;&gt;"",(_xlfn.XLOOKUP(C215,kengetallen_materialen!A$22:A$40,kengetallen_materialen!B$22:B$40))*D215*E215,""))</f>
        <v/>
      </c>
      <c r="G215" s="75" t="str">
        <f>IF(C215&lt;&gt;"",(_xlfn.XLOOKUP(B215,kengetallen_materialen!A$16:E$16,kengetallen_materialen!A$17:E$17))*D215*E215,"")</f>
        <v/>
      </c>
      <c r="H215" s="104" t="str">
        <f t="shared" si="19"/>
        <v/>
      </c>
      <c r="J215" s="125" t="str">
        <f t="shared" si="20"/>
        <v/>
      </c>
    </row>
    <row r="216" spans="1:14" hidden="1" outlineLevel="1" x14ac:dyDescent="0.3">
      <c r="A216" s="71">
        <v>10</v>
      </c>
      <c r="B216" s="66"/>
      <c r="C216" s="66"/>
      <c r="D216" s="66"/>
      <c r="E216" s="67"/>
      <c r="F216" s="102" t="str">
        <f>IF(C216="Anders","Neem contact op met VBS",IF(C216&lt;&gt;"",(_xlfn.XLOOKUP(C216,kengetallen_materialen!A$22:A$40,kengetallen_materialen!B$22:B$40))*D216*E216,""))</f>
        <v/>
      </c>
      <c r="G216" s="75" t="str">
        <f>IF(C216&lt;&gt;"",(_xlfn.XLOOKUP(B216,kengetallen_materialen!A$16:E$16,kengetallen_materialen!A$17:E$17))*D216*E216,"")</f>
        <v/>
      </c>
      <c r="H216" s="104" t="str">
        <f t="shared" si="19"/>
        <v/>
      </c>
      <c r="J216" s="125" t="str">
        <f t="shared" si="20"/>
        <v/>
      </c>
    </row>
    <row r="217" spans="1:14" hidden="1" outlineLevel="1" x14ac:dyDescent="0.3">
      <c r="A217" s="71">
        <v>10</v>
      </c>
      <c r="B217" s="66"/>
      <c r="C217" s="66"/>
      <c r="D217" s="66"/>
      <c r="E217" s="67"/>
      <c r="F217" s="102" t="str">
        <f>IF(C217="Anders","Neem contact op met VBS",IF(C217&lt;&gt;"",(_xlfn.XLOOKUP(C217,kengetallen_materialen!A$22:A$40,kengetallen_materialen!B$22:B$40))*D217*E217,""))</f>
        <v/>
      </c>
      <c r="G217" s="75" t="str">
        <f>IF(C217&lt;&gt;"",(_xlfn.XLOOKUP(B217,kengetallen_materialen!A$16:E$16,kengetallen_materialen!A$17:E$17))*D217*E217,"")</f>
        <v/>
      </c>
      <c r="H217" s="104" t="str">
        <f t="shared" si="19"/>
        <v/>
      </c>
      <c r="J217" s="125" t="str">
        <f t="shared" si="20"/>
        <v/>
      </c>
    </row>
    <row r="218" spans="1:14" hidden="1" outlineLevel="1" x14ac:dyDescent="0.3">
      <c r="A218" s="71">
        <v>10</v>
      </c>
      <c r="B218" s="66"/>
      <c r="C218" s="66"/>
      <c r="D218" s="66"/>
      <c r="E218" s="67"/>
      <c r="F218" s="102" t="str">
        <f>IF(C218="Anders","Neem contact op met VBS",IF(C218&lt;&gt;"",(_xlfn.XLOOKUP(C218,kengetallen_materialen!A$22:A$40,kengetallen_materialen!B$22:B$40))*D218*E218,""))</f>
        <v/>
      </c>
      <c r="G218" s="75" t="str">
        <f>IF(C218&lt;&gt;"",(_xlfn.XLOOKUP(B218,kengetallen_materialen!A$16:E$16,kengetallen_materialen!A$17:E$17))*D218*E218,"")</f>
        <v/>
      </c>
      <c r="H218" s="104" t="str">
        <f t="shared" si="19"/>
        <v/>
      </c>
      <c r="J218" s="125" t="str">
        <f t="shared" si="20"/>
        <v/>
      </c>
    </row>
    <row r="219" spans="1:14" hidden="1" outlineLevel="1" x14ac:dyDescent="0.3">
      <c r="A219" s="71">
        <v>10</v>
      </c>
      <c r="B219" s="72" t="s">
        <v>177</v>
      </c>
      <c r="C219" s="72" t="s">
        <v>187</v>
      </c>
    </row>
    <row r="220" spans="1:14" hidden="1" outlineLevel="1" x14ac:dyDescent="0.3">
      <c r="A220" s="71">
        <v>10</v>
      </c>
      <c r="B220" s="66" t="s">
        <v>112</v>
      </c>
      <c r="C220" s="66">
        <v>1</v>
      </c>
      <c r="F220" s="104">
        <f>IF(B220&lt;&gt;"",(_xlfn.XLOOKUP(B220,kengetallen_materialen!A$93:A$95,kengetallen_materialen!B$93:B$95))*2,"")</f>
        <v>674</v>
      </c>
      <c r="G220" s="76">
        <f>IF(B220&lt;&gt;"",kengetallen_materialen!$B$96*2*C220,"")</f>
        <v>529.61111111111109</v>
      </c>
      <c r="H220" s="104">
        <f>IF(B220&lt;&gt;"",G220-F220,"")</f>
        <v>-144.38888888888891</v>
      </c>
      <c r="J220" s="125" t="str">
        <f>IF(B220&lt;&gt;"",(_xlfn.XLOOKUP(B220,kengetallen_materialen!A$93:A$95,kengetallen_materialen!F$93:F$95)),"")</f>
        <v>Vervanging na 15 jaar</v>
      </c>
    </row>
    <row r="221" spans="1:14" hidden="1" outlineLevel="1" x14ac:dyDescent="0.3">
      <c r="A221" s="71">
        <v>10</v>
      </c>
      <c r="B221" s="66"/>
      <c r="C221" s="66"/>
      <c r="E221" s="65" t="str">
        <f>IF(C216&lt;&gt;"",(_xlfn.XLOOKUP(B221,kengetallen_materialen!A$93:A$95,kengetallen_materialen!F$93:F$95)),"")</f>
        <v/>
      </c>
      <c r="F221" s="104" t="str">
        <f>IF(B221&lt;&gt;"",(_xlfn.XLOOKUP(B221,kengetallen_materialen!A$93:A$95,kengetallen_materialen!B$93:B$95))*2,"")</f>
        <v/>
      </c>
      <c r="G221" s="76"/>
      <c r="H221" s="104" t="str">
        <f>IF(B221&lt;&gt;"",G221-F221,"")</f>
        <v/>
      </c>
      <c r="J221" s="125" t="str">
        <f>IF(B221&lt;&gt;"",(_xlfn.XLOOKUP(B221,kengetallen_materialen!A$93:A$95,kengetallen_materialen!F$93:F$95)),"")</f>
        <v/>
      </c>
    </row>
    <row r="222" spans="1:14" hidden="1" outlineLevel="1" x14ac:dyDescent="0.3">
      <c r="A222" s="71">
        <v>10</v>
      </c>
      <c r="B222" s="66"/>
      <c r="C222" s="66"/>
      <c r="E222" s="65" t="str">
        <f>IF(C217&lt;&gt;"",(_xlfn.XLOOKUP(B222,kengetallen_materialen!A$93:A$95,kengetallen_materialen!F$93:F$95)),"")</f>
        <v/>
      </c>
      <c r="F222" s="104" t="str">
        <f>IF(B222&lt;&gt;"",(_xlfn.XLOOKUP(B222,kengetallen_materialen!A$93:A$95,kengetallen_materialen!B$93:B$95))*2,"")</f>
        <v/>
      </c>
      <c r="G222" s="76"/>
      <c r="H222" s="104" t="str">
        <f>IF(B222&lt;&gt;"",G222-F222,"")</f>
        <v/>
      </c>
      <c r="J222" s="125" t="str">
        <f>IF(B222&lt;&gt;"",(_xlfn.XLOOKUP(B222,kengetallen_materialen!A$93:A$95,kengetallen_materialen!F$93:F$95)),"")</f>
        <v/>
      </c>
    </row>
    <row r="223" spans="1:14" ht="39" hidden="1" outlineLevel="1" x14ac:dyDescent="0.3">
      <c r="A223" s="71">
        <v>10</v>
      </c>
      <c r="B223" s="72" t="s">
        <v>178</v>
      </c>
      <c r="C223" s="72" t="s">
        <v>161</v>
      </c>
      <c r="D223" s="72" t="s">
        <v>186</v>
      </c>
      <c r="E223" s="73" t="s">
        <v>185</v>
      </c>
    </row>
    <row r="224" spans="1:14" hidden="1" outlineLevel="1" x14ac:dyDescent="0.3">
      <c r="A224" s="71">
        <v>10</v>
      </c>
      <c r="B224" s="66" t="s">
        <v>174</v>
      </c>
      <c r="C224" s="66" t="s">
        <v>157</v>
      </c>
      <c r="D224" s="66">
        <v>100</v>
      </c>
      <c r="E224" s="66">
        <v>1</v>
      </c>
      <c r="F224" s="104">
        <f>IF(B224&lt;&gt;"",((_xlfn.XLOOKUP(C224,kengetallen_materialen!A$60:A$69,kengetallen_materialen!B$60:B$69))*2*E224)+kengetallen_materialen!B$71*(D224-E224),"")</f>
        <v>2800.97</v>
      </c>
      <c r="G224" s="76">
        <f>IF(B224&lt;&gt;"",IF(B224="Gasketel",F224,kengetallen_materialen!E$112),"")</f>
        <v>485.63</v>
      </c>
      <c r="H224" s="104">
        <f>IF(B224&lt;&gt;"",G224-F224,"")</f>
        <v>-2315.3399999999997</v>
      </c>
      <c r="J224" s="125" t="str">
        <f>IF(B224&lt;&gt;"","Vervanging na 15 jaar","")</f>
        <v>Vervanging na 15 jaar</v>
      </c>
    </row>
    <row r="225" spans="1:10" hidden="1" outlineLevel="1" x14ac:dyDescent="0.3">
      <c r="A225" s="71">
        <v>10</v>
      </c>
      <c r="B225" s="66"/>
      <c r="C225" s="66"/>
      <c r="D225" s="66"/>
      <c r="E225" s="66"/>
      <c r="F225" s="104" t="str">
        <f>IF(B225&lt;&gt;"",((_xlfn.XLOOKUP(C225,kengetallen_materialen!A$60:A$69,kengetallen_materialen!B$60:B$69))*2*E225)+kengetallen_materialen!B$71*(D225-E225),"")</f>
        <v/>
      </c>
      <c r="G225" s="76" t="str">
        <f>IF(B225&lt;&gt;"",kengetallen_materialen!E$112,"")</f>
        <v/>
      </c>
      <c r="H225" s="104" t="str">
        <f>IF(B225&lt;&gt;"",G225-F225,"")</f>
        <v/>
      </c>
      <c r="J225" s="125" t="str">
        <f>IF(B225&lt;&gt;"","Vervanging na 15 jaar","")</f>
        <v/>
      </c>
    </row>
    <row r="226" spans="1:10" hidden="1" outlineLevel="1" x14ac:dyDescent="0.3">
      <c r="A226" s="71">
        <v>10</v>
      </c>
      <c r="B226" s="66"/>
      <c r="C226" s="66"/>
      <c r="D226" s="66"/>
      <c r="E226" s="66"/>
      <c r="F226" s="104" t="str">
        <f>IF(B226&lt;&gt;"",((_xlfn.XLOOKUP(C226,kengetallen_materialen!A$60:A$69,kengetallen_materialen!B$60:B$69))*2*E226)+kengetallen_materialen!B$71*(D226-E226),"")</f>
        <v/>
      </c>
      <c r="G226" s="76" t="str">
        <f>IF(B226&lt;&gt;"",kengetallen_materialen!E$112,"")</f>
        <v/>
      </c>
      <c r="H226" s="104" t="str">
        <f>IF(B226&lt;&gt;"",G226-F226,"")</f>
        <v/>
      </c>
      <c r="J226" s="125" t="str">
        <f>IF(B226&lt;&gt;"","Vervanging na 15 jaar","")</f>
        <v/>
      </c>
    </row>
    <row r="227" spans="1:10" hidden="1" outlineLevel="1" x14ac:dyDescent="0.3">
      <c r="A227" s="71">
        <v>10</v>
      </c>
      <c r="B227" s="72" t="s">
        <v>108</v>
      </c>
      <c r="C227" s="72" t="s">
        <v>184</v>
      </c>
    </row>
    <row r="228" spans="1:10" hidden="1" outlineLevel="1" x14ac:dyDescent="0.3">
      <c r="A228" s="71">
        <v>10</v>
      </c>
      <c r="B228" s="66" t="s">
        <v>101</v>
      </c>
      <c r="C228" s="68">
        <v>5000</v>
      </c>
      <c r="F228" s="104">
        <f>IF(B228&lt;&gt;0,VLOOKUP(B228,kengetallen_materialen!$A$100:$B$104,2)*C228/1000,"")</f>
        <v>3275.0397456279807</v>
      </c>
      <c r="G228" s="76">
        <f>IF(B228&lt;&gt;0,IF(B228=kengetallen_materialen!$A$104,kengetallen_materialen!B$104*C228/1000,kengetallen_materialen!B$105*C228/1000),"")</f>
        <v>4248.6112409987845</v>
      </c>
      <c r="H228" s="104">
        <f>IF(B228&lt;&gt;0,G228-F228,"")</f>
        <v>973.57149537080386</v>
      </c>
      <c r="J228" s="125" t="str">
        <f>IF(B228="Standaard omvormer","Vervanging na 15 jaar","")</f>
        <v/>
      </c>
    </row>
    <row r="229" spans="1:10" hidden="1" outlineLevel="1" x14ac:dyDescent="0.3">
      <c r="A229" s="71">
        <v>10</v>
      </c>
      <c r="B229" s="66" t="s">
        <v>98</v>
      </c>
      <c r="C229" s="68">
        <v>5000</v>
      </c>
      <c r="F229" s="104">
        <f>IF(B229&lt;&gt;0,VLOOKUP(B229,kengetallen_materialen!$A$100:$B$104,2)*C229/1000,"")</f>
        <v>944</v>
      </c>
      <c r="G229" s="76">
        <f>IF(B229&lt;&gt;0,IF(B229=kengetallen_materialen!$A$104,kengetallen_materialen!B$104*C229/1000,kengetallen_materialen!B$105*C229/1000),"")</f>
        <v>944</v>
      </c>
      <c r="H229" s="104">
        <f>IF(B229&lt;&gt;0,G229-F229,"")</f>
        <v>0</v>
      </c>
      <c r="J229" s="125" t="str">
        <f>IF(B229="Standaard omvormer","Vervanging na 15 jaar","")</f>
        <v>Vervanging na 15 jaar</v>
      </c>
    </row>
    <row r="230" spans="1:10" hidden="1" outlineLevel="1" x14ac:dyDescent="0.3">
      <c r="A230" s="71">
        <v>10</v>
      </c>
      <c r="B230" s="66"/>
      <c r="C230" s="68"/>
      <c r="F230" s="104" t="str">
        <f>IF(B230&lt;&gt;0,VLOOKUP(B230,kengetallen_materialen!$A$100:$B$104,2)*C230/1000,"")</f>
        <v/>
      </c>
      <c r="G230" s="76" t="str">
        <f>IF(B230&lt;&gt;0,IF(B230=kengetallen_materialen!$A$104,kengetallen_materialen!B$104*C230/1000,kengetallen_materialen!B$105*C230/1000),"")</f>
        <v/>
      </c>
      <c r="H230" s="104" t="str">
        <f>IF(B230&lt;&gt;0,G230-F230,"")</f>
        <v/>
      </c>
      <c r="J230" s="125" t="str">
        <f>IF(B230="Standaard omvormer","Vervanging na 15 jaar","")</f>
        <v/>
      </c>
    </row>
    <row r="231" spans="1:10" collapsed="1" x14ac:dyDescent="0.3"/>
    <row r="235" spans="1:10" x14ac:dyDescent="0.3">
      <c r="B235" s="106"/>
    </row>
  </sheetData>
  <sheetProtection algorithmName="SHA-512" hashValue="jEn2QdgtBwylT9N0JCOw1aNhNzuyq1vTzBN8WuF6cv2xUwryPB5esI9+bF5cObH+AOetT4usvMrBpCF1dARIGA==" saltValue="JMyAKxPP1Ea/gvbl17C5qw==" spinCount="100000" sheet="1" objects="1" scenarios="1"/>
  <protectedRanges>
    <protectedRange sqref="K119:N119 K142:N142 K165:N165 K188:N188 K211:N211" name="Aanpak 6tot10"/>
    <protectedRange sqref="B1:E1048576" name="Editable"/>
    <protectedRange algorithmName="SHA-512" hashValue="RPuaVwPzYkthckklkoYyZcgiWRA+hTiFKRs/TkJfx3zIt+kgIAPrJL14nXsQXVRAZwpkL/Zw4J0YtMQMj0swdg==" saltValue="Bk2kmGXoxoZK0cmj1RoUVA==" spinCount="100000" sqref="A1:A1048576 F1:J1048576" name="Formules"/>
    <protectedRange sqref="K4:N4" name="Aanpak 1"/>
    <protectedRange sqref="K27:N27 K50:N50 K73:N73 K96:N96" name="Aanpak 2tot5"/>
  </protectedRanges>
  <dataValidations count="4">
    <dataValidation type="list" showInputMessage="1" showErrorMessage="1" sqref="B118:B126 B3:B11 B26:B34 B49:B57 B72:B80 B95:B103 B141:B149 B164:B172 B187:B195 B210:B218" xr:uid="{056E5DD4-93CA-44CE-8D19-06EB74F78BA9}">
      <formula1>Bouwdeel</formula1>
    </dataValidation>
    <dataValidation type="list" showInputMessage="1" showErrorMessage="1" sqref="B17:B19 B132:B134 B40:B42 B63:B65 B86:B88 B109:B111 B155:B157 B178:B180 B201:B203 B224:B226" xr:uid="{198B29C0-BFC9-42A0-9CAF-28D4EA45AA2C}">
      <formula1>Verwarmingsinstallatie</formula1>
    </dataValidation>
    <dataValidation type="list" showInputMessage="1" showErrorMessage="1" sqref="B21:B23 B136:B138 B44:B46 B67:B69 B90:B92 B113:B115 B159:B161 B182:B184 B205:B207 B228:B230" xr:uid="{4A9DDC99-0D7D-49C8-B872-065706C7A98A}">
      <formula1>Duurzame_energie_opwekker</formula1>
    </dataValidation>
    <dataValidation type="list" showInputMessage="1" showErrorMessage="1" sqref="C118:C126 C3:C11 C26:C34 C49:C57 C72:C80 C95:C103 C141:C149 C164:C172 C187:C195 C210:C218" xr:uid="{F19EEB9F-2DF5-411D-A452-F287799A786E}">
      <formula1>INDIRECT(B3)</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4B41919B-B9E0-4C60-A412-7E8E2BC6F943}">
          <x14:formula1>
            <xm:f>kengetallen_materialen!$A$93:$A$95</xm:f>
          </x14:formula1>
          <xm:sqref>B13:B15 B220:B222 B197:B199 B174:B176 B151:B153 B105:B107 B82:B84 B59:B61 B36:B38 B128:B130</xm:sqref>
        </x14:dataValidation>
        <x14:dataValidation type="list" allowBlank="1" showInputMessage="1" showErrorMessage="1" xr:uid="{08D3FEBC-48A0-47A0-80D3-17A6D28A6EB2}">
          <x14:formula1>
            <xm:f>kengetallen_materialen!$A$60:$A$69</xm:f>
          </x14:formula1>
          <xm:sqref>C17:C19 C224:C226 C201:C203 C178:C180 C155:C157 C109:C111 C86:C88 C63:C65 C40:C42 C132:C134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FCFA8-065E-4B79-B496-A41841AEA9CB}">
  <dimension ref="A1:S38"/>
  <sheetViews>
    <sheetView workbookViewId="0">
      <selection activeCell="C12" sqref="C12"/>
    </sheetView>
  </sheetViews>
  <sheetFormatPr defaultColWidth="8.8984375" defaultRowHeight="13" outlineLevelRow="1" x14ac:dyDescent="0.3"/>
  <cols>
    <col min="1" max="1" width="9.69921875" style="1" customWidth="1"/>
    <col min="2" max="2" width="24.59765625" style="2" bestFit="1" customWidth="1"/>
    <col min="3" max="4" width="21.296875" style="1" customWidth="1"/>
    <col min="5" max="5" width="13.296875" style="12" customWidth="1"/>
    <col min="6" max="6" width="14.296875" style="12" customWidth="1"/>
    <col min="7" max="7" width="20.09765625" style="12" customWidth="1"/>
    <col min="8" max="8" width="16.296875" style="12" customWidth="1"/>
    <col min="9" max="9" width="23.09765625" style="12" customWidth="1"/>
    <col min="10" max="13" width="19" style="1" customWidth="1"/>
    <col min="14" max="14" width="16.59765625" style="1" customWidth="1"/>
    <col min="15" max="15" width="17.8984375" style="1" customWidth="1"/>
    <col min="16" max="16" width="16.3984375" style="1" customWidth="1"/>
    <col min="17" max="17" width="16.69921875" style="1" customWidth="1"/>
    <col min="18" max="18" width="33.8984375" style="1" bestFit="1" customWidth="1"/>
    <col min="19" max="16384" width="8.8984375" style="2"/>
  </cols>
  <sheetData>
    <row r="1" spans="1:19" s="132" customFormat="1" ht="21" x14ac:dyDescent="0.5">
      <c r="A1" s="126"/>
      <c r="B1" s="133" t="s">
        <v>399</v>
      </c>
      <c r="C1" s="134"/>
      <c r="D1" s="134"/>
      <c r="E1" s="135"/>
      <c r="F1" s="135"/>
      <c r="G1" s="135"/>
      <c r="H1" s="135"/>
      <c r="I1" s="135"/>
      <c r="J1" s="127" t="s">
        <v>0</v>
      </c>
      <c r="K1" s="128"/>
      <c r="L1" s="128"/>
      <c r="M1" s="79" t="s">
        <v>283</v>
      </c>
      <c r="N1" s="129"/>
      <c r="O1" s="129"/>
      <c r="P1" s="130"/>
      <c r="Q1" s="130"/>
      <c r="R1" s="131" t="s">
        <v>1</v>
      </c>
    </row>
    <row r="2" spans="1:19" s="4" customFormat="1" ht="39" x14ac:dyDescent="0.3">
      <c r="A2" s="3" t="s">
        <v>2</v>
      </c>
      <c r="B2" s="4" t="s">
        <v>3</v>
      </c>
      <c r="C2" s="3" t="s">
        <v>4</v>
      </c>
      <c r="D2" s="3" t="s">
        <v>5</v>
      </c>
      <c r="E2" s="31" t="s">
        <v>237</v>
      </c>
      <c r="F2" s="31" t="s">
        <v>7</v>
      </c>
      <c r="G2" s="31" t="s">
        <v>95</v>
      </c>
      <c r="H2" s="31" t="s">
        <v>85</v>
      </c>
      <c r="I2" s="31" t="s">
        <v>91</v>
      </c>
      <c r="J2" s="3" t="s">
        <v>8</v>
      </c>
      <c r="K2" s="3" t="s">
        <v>9</v>
      </c>
      <c r="L2" s="3" t="s">
        <v>10</v>
      </c>
      <c r="M2" s="3" t="s">
        <v>192</v>
      </c>
      <c r="N2" s="3" t="s">
        <v>8</v>
      </c>
      <c r="O2" s="3" t="s">
        <v>11</v>
      </c>
      <c r="P2" s="3" t="s">
        <v>9</v>
      </c>
      <c r="Q2" s="3" t="s">
        <v>10</v>
      </c>
      <c r="R2" s="31" t="s">
        <v>12</v>
      </c>
    </row>
    <row r="3" spans="1:19" s="6" customFormat="1" ht="39" x14ac:dyDescent="0.3">
      <c r="A3" s="5"/>
      <c r="B3" s="6" t="s">
        <v>236</v>
      </c>
      <c r="C3" s="5" t="s">
        <v>236</v>
      </c>
      <c r="D3" s="5" t="s">
        <v>236</v>
      </c>
      <c r="E3" s="5" t="s">
        <v>238</v>
      </c>
      <c r="F3" s="5" t="s">
        <v>238</v>
      </c>
      <c r="G3" s="5" t="s">
        <v>239</v>
      </c>
      <c r="H3" s="5" t="s">
        <v>236</v>
      </c>
      <c r="I3" s="5" t="s">
        <v>236</v>
      </c>
      <c r="J3" s="5" t="s">
        <v>251</v>
      </c>
      <c r="K3" s="5" t="s">
        <v>252</v>
      </c>
      <c r="L3" s="5" t="s">
        <v>252</v>
      </c>
      <c r="M3" s="5" t="s">
        <v>236</v>
      </c>
      <c r="N3" s="5" t="s">
        <v>251</v>
      </c>
      <c r="O3" s="5" t="s">
        <v>253</v>
      </c>
      <c r="P3" s="5" t="s">
        <v>252</v>
      </c>
      <c r="Q3" s="5" t="s">
        <v>252</v>
      </c>
      <c r="R3" s="5" t="s">
        <v>71</v>
      </c>
    </row>
    <row r="4" spans="1:19" ht="26" x14ac:dyDescent="0.3">
      <c r="A4" s="1" t="s">
        <v>15</v>
      </c>
      <c r="B4" s="8" t="s">
        <v>16</v>
      </c>
      <c r="C4" s="9" t="s">
        <v>17</v>
      </c>
      <c r="D4" s="9" t="s">
        <v>18</v>
      </c>
      <c r="E4" s="32">
        <v>200</v>
      </c>
      <c r="F4" s="32">
        <v>0</v>
      </c>
      <c r="G4" s="32"/>
      <c r="H4" s="32" t="s">
        <v>86</v>
      </c>
      <c r="I4" s="32" t="s">
        <v>92</v>
      </c>
      <c r="J4" s="20">
        <f>IF(ISBLANK(E4)=TRUE,"",VLOOKUP(_xlfn.CONCAT(B4," ",C4," ",D4),kengetallen_woningen!H$25:I$264,2,FALSE))</f>
        <v>980</v>
      </c>
      <c r="K4" s="20">
        <f>IF(ISBLANK(E4)=TRUE,"",VLOOKUP(_xlfn.CONCAT(B4," ",C4," ",D4),kengetallen_woningen!H$25:J$264,3,FALSE))</f>
        <v>1760</v>
      </c>
      <c r="L4" s="1">
        <f>IF(ISBLANK(E4)=TRUE,"",0)</f>
        <v>0</v>
      </c>
      <c r="M4" s="9">
        <v>1</v>
      </c>
      <c r="N4" s="20">
        <f>IF(ISBLANK(M4)=TRUE,"",VLOOKUP($M4,kengetallen_energielasten!$A$6:B$15,2))</f>
        <v>0</v>
      </c>
      <c r="O4" s="20">
        <f>IF(ISBLANK(M4)=TRUE,"",VLOOKUP($M4,kengetallen_energielasten!$A$6:C$15,3))</f>
        <v>0</v>
      </c>
      <c r="P4" s="20">
        <f>IF(ISBLANK(M4)=TRUE,"",IF(VLOOKUP($M4,kengetallen_energielasten!$A$6:D$15,4)="N/A",0,(VLOOKUP($M4,kengetallen_energielasten!$A$6:D$15,4))+(VLOOKUP(B4,'bijlage - huishoudelijk gebruik'!A$10:B$14,2))))</f>
        <v>5350</v>
      </c>
      <c r="Q4" s="20">
        <f>IF(ISBLANK(M4)=TRUE,"",VLOOKUP($M4,kengetallen_energielasten!$A$6:E$15,5))</f>
        <v>4000</v>
      </c>
      <c r="R4" s="32">
        <v>350</v>
      </c>
      <c r="S4" s="33"/>
    </row>
    <row r="5" spans="1:19" ht="26" x14ac:dyDescent="0.3">
      <c r="A5" s="1" t="s">
        <v>19</v>
      </c>
      <c r="B5" s="8" t="s">
        <v>16</v>
      </c>
      <c r="C5" s="9" t="s">
        <v>61</v>
      </c>
      <c r="D5" s="9" t="s">
        <v>18</v>
      </c>
      <c r="E5" s="32">
        <v>200</v>
      </c>
      <c r="F5" s="32">
        <v>0</v>
      </c>
      <c r="G5" s="32"/>
      <c r="H5" s="32" t="s">
        <v>86</v>
      </c>
      <c r="I5" s="32" t="s">
        <v>92</v>
      </c>
      <c r="J5" s="20">
        <f>IF(ISBLANK(E5)=TRUE,"",VLOOKUP(_xlfn.CONCAT(B5," ",C5," ",D5),kengetallen_woningen!H$25:I$264,2,FALSE))</f>
        <v>870</v>
      </c>
      <c r="K5" s="20">
        <f>IF(ISBLANK(E5)=TRUE,"",VLOOKUP(_xlfn.CONCAT(B5," ",C5," ",D5),kengetallen_woningen!H$25:J$264,3,FALSE))</f>
        <v>1830</v>
      </c>
      <c r="L5" s="1">
        <f t="shared" ref="L5:L15" si="0">IF(ISBLANK(E5)=TRUE,"",0)</f>
        <v>0</v>
      </c>
      <c r="M5" s="9">
        <v>1</v>
      </c>
      <c r="N5" s="20">
        <f>IF(ISBLANK(M5)=TRUE,"",VLOOKUP($M5,kengetallen_energielasten!$A$6:B$15,2))</f>
        <v>0</v>
      </c>
      <c r="O5" s="20">
        <f>IF(ISBLANK(M5)=TRUE,"",VLOOKUP($M5,kengetallen_energielasten!$A$6:C$15,3))</f>
        <v>0</v>
      </c>
      <c r="P5" s="20">
        <f>IF(ISBLANK(M5)=TRUE,"",IF(VLOOKUP($M5,kengetallen_energielasten!$A$6:D$15,4)="N/A",0,(VLOOKUP($M5,kengetallen_energielasten!$A$6:D$15,4))+(VLOOKUP(B5,'bijlage - huishoudelijk gebruik'!A$10:B$14,2))))</f>
        <v>5350</v>
      </c>
      <c r="Q5" s="20">
        <f>IF(ISBLANK(M5)=TRUE,"",VLOOKUP($M5,kengetallen_energielasten!$A$6:E$15,5))</f>
        <v>4000</v>
      </c>
      <c r="R5" s="32">
        <v>350</v>
      </c>
      <c r="S5" s="34"/>
    </row>
    <row r="6" spans="1:19" ht="26" x14ac:dyDescent="0.3">
      <c r="A6" s="1" t="s">
        <v>23</v>
      </c>
      <c r="B6" s="8" t="s">
        <v>16</v>
      </c>
      <c r="C6" s="9" t="s">
        <v>61</v>
      </c>
      <c r="D6" s="9" t="s">
        <v>60</v>
      </c>
      <c r="E6" s="32">
        <v>200</v>
      </c>
      <c r="F6" s="32">
        <v>0</v>
      </c>
      <c r="G6" s="32"/>
      <c r="H6" s="32" t="s">
        <v>86</v>
      </c>
      <c r="I6" s="32" t="s">
        <v>92</v>
      </c>
      <c r="J6" s="20">
        <f>IF(ISBLANK(E6)=TRUE,"",VLOOKUP(_xlfn.CONCAT(B6," ",C6," ",D6),kengetallen_woningen!H$25:I$264,2,FALSE))</f>
        <v>960</v>
      </c>
      <c r="K6" s="20">
        <f>IF(ISBLANK(E6)=TRUE,"",VLOOKUP(_xlfn.CONCAT(B6," ",C6," ",D6),kengetallen_woningen!H$25:J$264,3,FALSE))</f>
        <v>2410</v>
      </c>
      <c r="L6" s="1">
        <f t="shared" si="0"/>
        <v>0</v>
      </c>
      <c r="M6" s="9">
        <v>1</v>
      </c>
      <c r="N6" s="20">
        <f>IF(ISBLANK(M6)=TRUE,"",VLOOKUP($M6,kengetallen_energielasten!$A$6:B$15,2))</f>
        <v>0</v>
      </c>
      <c r="O6" s="20">
        <f>IF(ISBLANK(M6)=TRUE,"",VLOOKUP($M6,kengetallen_energielasten!$A$6:C$15,3))</f>
        <v>0</v>
      </c>
      <c r="P6" s="20">
        <f>IF(ISBLANK(M6)=TRUE,"",IF(VLOOKUP($M6,kengetallen_energielasten!$A$6:D$15,4)="N/A",0,(VLOOKUP($M6,kengetallen_energielasten!$A$6:D$15,4))+(VLOOKUP(B6,'bijlage - huishoudelijk gebruik'!A$10:B$14,2))))</f>
        <v>5350</v>
      </c>
      <c r="Q6" s="20">
        <f>IF(ISBLANK(M6)=TRUE,"",VLOOKUP($M6,kengetallen_energielasten!$A$6:E$15,5))</f>
        <v>4000</v>
      </c>
      <c r="R6" s="32">
        <v>350</v>
      </c>
      <c r="S6" s="11"/>
    </row>
    <row r="7" spans="1:19" x14ac:dyDescent="0.3">
      <c r="A7" s="1" t="s">
        <v>24</v>
      </c>
      <c r="B7" s="8"/>
      <c r="C7" s="9"/>
      <c r="D7" s="9"/>
      <c r="E7" s="32"/>
      <c r="F7" s="32"/>
      <c r="G7" s="32"/>
      <c r="H7" s="32"/>
      <c r="I7" s="32"/>
      <c r="J7" s="20" t="str">
        <f>IF(ISBLANK(E7)=TRUE,"",VLOOKUP(_xlfn.CONCAT(B7," ",C7," ",D7),kengetallen_woningen!H$25:I$264,2,FALSE))</f>
        <v/>
      </c>
      <c r="K7" s="20" t="str">
        <f>IF(ISBLANK(E7)=TRUE,"",VLOOKUP(_xlfn.CONCAT(B7," ",C7," ",D7),kengetallen_woningen!H$25:J$264,3,FALSE))</f>
        <v/>
      </c>
      <c r="L7" s="1" t="str">
        <f t="shared" si="0"/>
        <v/>
      </c>
      <c r="M7" s="9"/>
      <c r="N7" s="20" t="str">
        <f>IF(ISBLANK(M7)=TRUE,"",VLOOKUP($M7,kengetallen_energielasten!$A$6:B$15,2))</f>
        <v/>
      </c>
      <c r="O7" s="20" t="str">
        <f>IF(ISBLANK(M7)=TRUE,"",VLOOKUP($M7,kengetallen_energielasten!$A$6:C$15,3))</f>
        <v/>
      </c>
      <c r="P7" s="20" t="str">
        <f>IF(ISBLANK(M7)=TRUE,"",IF(VLOOKUP($M7,kengetallen_energielasten!$A$6:D$15,4)="N/A",0,(VLOOKUP($M7,kengetallen_energielasten!$A$6:D$15,4))+(VLOOKUP(B7,'bijlage - huishoudelijk gebruik'!A$10:B$14,2))))</f>
        <v/>
      </c>
      <c r="Q7" s="20" t="str">
        <f>IF(ISBLANK(M7)=TRUE,"",VLOOKUP($M7,kengetallen_energielasten!$A$6:E$15,5))</f>
        <v/>
      </c>
      <c r="R7" s="32"/>
    </row>
    <row r="8" spans="1:19" x14ac:dyDescent="0.3">
      <c r="A8" s="1" t="s">
        <v>25</v>
      </c>
      <c r="B8" s="8"/>
      <c r="C8" s="9"/>
      <c r="D8" s="9"/>
      <c r="E8" s="32"/>
      <c r="F8" s="32"/>
      <c r="G8" s="32"/>
      <c r="H8" s="32"/>
      <c r="I8" s="32"/>
      <c r="J8" s="20" t="str">
        <f>IF(ISBLANK(E8)=TRUE,"",VLOOKUP(_xlfn.CONCAT(B8," ",C8," ",D8),kengetallen_woningen!H$25:I$264,2,FALSE))</f>
        <v/>
      </c>
      <c r="K8" s="20" t="str">
        <f>IF(ISBLANK(E8)=TRUE,"",VLOOKUP(_xlfn.CONCAT(B8," ",C8," ",D8),kengetallen_woningen!H$25:J$264,3,FALSE))</f>
        <v/>
      </c>
      <c r="L8" s="1" t="str">
        <f t="shared" si="0"/>
        <v/>
      </c>
      <c r="M8" s="9"/>
      <c r="N8" s="20" t="str">
        <f>IF(ISBLANK(M8)=TRUE,"",VLOOKUP($M8,kengetallen_energielasten!$A$6:B$15,2))</f>
        <v/>
      </c>
      <c r="O8" s="20" t="str">
        <f>IF(ISBLANK(M8)=TRUE,"",VLOOKUP($M8,kengetallen_energielasten!$A$6:C$15,3))</f>
        <v/>
      </c>
      <c r="P8" s="20" t="str">
        <f>IF(ISBLANK(M8)=TRUE,"",IF(VLOOKUP($M8,kengetallen_energielasten!$A$6:D$15,4)="N/A",0,(VLOOKUP($M8,kengetallen_energielasten!$A$6:D$15,4))+(VLOOKUP(B8,'bijlage - huishoudelijk gebruik'!A$10:B$14,2))))</f>
        <v/>
      </c>
      <c r="Q8" s="20" t="str">
        <f>IF(ISBLANK(M8)=TRUE,"",VLOOKUP($M8,kengetallen_energielasten!$A$6:E$15,5))</f>
        <v/>
      </c>
      <c r="R8" s="32"/>
    </row>
    <row r="9" spans="1:19" x14ac:dyDescent="0.3">
      <c r="A9" s="1" t="s">
        <v>26</v>
      </c>
      <c r="B9" s="8"/>
      <c r="C9" s="9"/>
      <c r="D9" s="9"/>
      <c r="E9" s="32"/>
      <c r="F9" s="32"/>
      <c r="G9" s="32"/>
      <c r="H9" s="32"/>
      <c r="I9" s="32"/>
      <c r="J9" s="20" t="str">
        <f>IF(ISBLANK(E9)=TRUE,"",VLOOKUP(_xlfn.CONCAT(B9," ",C9," ",D9),kengetallen_woningen!H$25:I$264,2,FALSE))</f>
        <v/>
      </c>
      <c r="K9" s="20" t="str">
        <f>IF(ISBLANK(E9)=TRUE,"",VLOOKUP(_xlfn.CONCAT(B9," ",C9," ",D9),kengetallen_woningen!H$25:J$264,3,FALSE))</f>
        <v/>
      </c>
      <c r="L9" s="1" t="str">
        <f t="shared" si="0"/>
        <v/>
      </c>
      <c r="M9" s="9"/>
      <c r="N9" s="20" t="str">
        <f>IF(ISBLANK(M9)=TRUE,"",VLOOKUP($M9,kengetallen_energielasten!$A$6:B$15,2))</f>
        <v/>
      </c>
      <c r="O9" s="20" t="str">
        <f>IF(ISBLANK(M9)=TRUE,"",VLOOKUP($M9,kengetallen_energielasten!$A$6:C$15,3))</f>
        <v/>
      </c>
      <c r="P9" s="20" t="str">
        <f>IF(ISBLANK(M9)=TRUE,"",IF(VLOOKUP($M9,kengetallen_energielasten!$A$6:D$15,4)="N/A",0,(VLOOKUP($M9,kengetallen_energielasten!$A$6:D$15,4))+(VLOOKUP(B9,'bijlage - huishoudelijk gebruik'!A$10:B$14,2))))</f>
        <v/>
      </c>
      <c r="Q9" s="20" t="str">
        <f>IF(ISBLANK(M9)=TRUE,"",VLOOKUP($M9,kengetallen_energielasten!$A$6:E$15,5))</f>
        <v/>
      </c>
      <c r="R9" s="32"/>
    </row>
    <row r="10" spans="1:19" x14ac:dyDescent="0.3">
      <c r="A10" s="1" t="s">
        <v>27</v>
      </c>
      <c r="B10" s="8"/>
      <c r="C10" s="9"/>
      <c r="D10" s="9"/>
      <c r="E10" s="32"/>
      <c r="F10" s="32"/>
      <c r="G10" s="32"/>
      <c r="H10" s="32"/>
      <c r="I10" s="32"/>
      <c r="J10" s="20" t="str">
        <f>IF(ISBLANK(E10)=TRUE,"",VLOOKUP(_xlfn.CONCAT(B10," ",C10," ",D10),kengetallen_woningen!H$25:I$264,2,FALSE))</f>
        <v/>
      </c>
      <c r="K10" s="20" t="str">
        <f>IF(ISBLANK(E10)=TRUE,"",VLOOKUP(_xlfn.CONCAT(B10," ",C10," ",D10),kengetallen_woningen!H$25:J$264,3,FALSE))</f>
        <v/>
      </c>
      <c r="L10" s="1" t="str">
        <f t="shared" si="0"/>
        <v/>
      </c>
      <c r="M10" s="9"/>
      <c r="N10" s="20" t="str">
        <f>IF(ISBLANK(M10)=TRUE,"",VLOOKUP($M10,kengetallen_energielasten!$A$6:B$15,2))</f>
        <v/>
      </c>
      <c r="O10" s="20" t="str">
        <f>IF(ISBLANK(M10)=TRUE,"",VLOOKUP($M10,kengetallen_energielasten!$A$6:C$15,3))</f>
        <v/>
      </c>
      <c r="P10" s="20" t="str">
        <f>IF(ISBLANK(M10)=TRUE,"",IF(VLOOKUP($M10,kengetallen_energielasten!$A$6:D$15,4)="N/A",0,(VLOOKUP($M10,kengetallen_energielasten!$A$6:D$15,4))+(VLOOKUP(B10,'bijlage - huishoudelijk gebruik'!A$10:B$14,2))))</f>
        <v/>
      </c>
      <c r="Q10" s="20" t="str">
        <f>IF(ISBLANK(M10)=TRUE,"",VLOOKUP($M10,kengetallen_energielasten!$A$6:E$15,5))</f>
        <v/>
      </c>
      <c r="R10" s="32"/>
    </row>
    <row r="11" spans="1:19" x14ac:dyDescent="0.3">
      <c r="A11" s="1" t="s">
        <v>28</v>
      </c>
      <c r="B11" s="8"/>
      <c r="C11" s="9"/>
      <c r="D11" s="9"/>
      <c r="E11" s="32"/>
      <c r="F11" s="32"/>
      <c r="G11" s="32"/>
      <c r="H11" s="32"/>
      <c r="I11" s="32"/>
      <c r="J11" s="20" t="str">
        <f>IF(ISBLANK(E11)=TRUE,"",VLOOKUP(_xlfn.CONCAT(B11," ",C11," ",D11),kengetallen_woningen!H$25:I$264,2,FALSE))</f>
        <v/>
      </c>
      <c r="K11" s="20" t="str">
        <f>IF(ISBLANK(E11)=TRUE,"",VLOOKUP(_xlfn.CONCAT(B11," ",C11," ",D11),kengetallen_woningen!H$25:J$264,3,FALSE))</f>
        <v/>
      </c>
      <c r="L11" s="1" t="str">
        <f t="shared" si="0"/>
        <v/>
      </c>
      <c r="M11" s="9"/>
      <c r="N11" s="20" t="str">
        <f>IF(ISBLANK(M11)=TRUE,"",VLOOKUP($M11,kengetallen_energielasten!$A$6:B$15,2))</f>
        <v/>
      </c>
      <c r="O11" s="20" t="str">
        <f>IF(ISBLANK(M11)=TRUE,"",VLOOKUP($M11,kengetallen_energielasten!$A$6:C$15,3))</f>
        <v/>
      </c>
      <c r="P11" s="20" t="str">
        <f>IF(ISBLANK(M11)=TRUE,"",IF(VLOOKUP($M11,kengetallen_energielasten!$A$6:D$15,4)="N/A",0,(VLOOKUP($M11,kengetallen_energielasten!$A$6:D$15,4))+(VLOOKUP(B11,'bijlage - huishoudelijk gebruik'!A$10:B$14,2))))</f>
        <v/>
      </c>
      <c r="Q11" s="20" t="str">
        <f>IF(ISBLANK(M11)=TRUE,"",VLOOKUP($M11,kengetallen_energielasten!$A$6:E$15,5))</f>
        <v/>
      </c>
      <c r="R11" s="32"/>
    </row>
    <row r="12" spans="1:19" x14ac:dyDescent="0.3">
      <c r="A12" s="1" t="s">
        <v>29</v>
      </c>
      <c r="B12" s="8"/>
      <c r="C12" s="9"/>
      <c r="D12" s="9"/>
      <c r="E12" s="32"/>
      <c r="F12" s="32"/>
      <c r="G12" s="32"/>
      <c r="H12" s="32"/>
      <c r="I12" s="32"/>
      <c r="J12" s="20" t="str">
        <f>IF(ISBLANK(E12)=TRUE,"",VLOOKUP(_xlfn.CONCAT(B12," ",C12," ",D12),kengetallen_woningen!H$25:I$264,2,FALSE))</f>
        <v/>
      </c>
      <c r="K12" s="20" t="str">
        <f>IF(ISBLANK(E12)=TRUE,"",VLOOKUP(_xlfn.CONCAT(B12," ",C12," ",D12),kengetallen_woningen!H$25:J$264,3,FALSE))</f>
        <v/>
      </c>
      <c r="L12" s="1" t="str">
        <f t="shared" si="0"/>
        <v/>
      </c>
      <c r="M12" s="9"/>
      <c r="N12" s="20" t="str">
        <f>IF(ISBLANK(M12)=TRUE,"",VLOOKUP($M12,kengetallen_energielasten!$A$6:B$15,2))</f>
        <v/>
      </c>
      <c r="O12" s="20" t="str">
        <f>IF(ISBLANK(M12)=TRUE,"",VLOOKUP($M12,kengetallen_energielasten!$A$6:C$15,3))</f>
        <v/>
      </c>
      <c r="P12" s="20" t="str">
        <f>IF(ISBLANK(M12)=TRUE,"",IF(VLOOKUP($M12,kengetallen_energielasten!$A$6:D$15,4)="N/A",0,(VLOOKUP($M12,kengetallen_energielasten!$A$6:D$15,4))+(VLOOKUP(B12,'bijlage - huishoudelijk gebruik'!A$10:B$14,2))))</f>
        <v/>
      </c>
      <c r="Q12" s="20" t="str">
        <f>IF(ISBLANK(M12)=TRUE,"",VLOOKUP($M12,kengetallen_energielasten!$A$6:E$15,5))</f>
        <v/>
      </c>
      <c r="R12" s="32"/>
    </row>
    <row r="13" spans="1:19" x14ac:dyDescent="0.3">
      <c r="A13" s="1" t="s">
        <v>30</v>
      </c>
      <c r="B13" s="8"/>
      <c r="C13" s="9"/>
      <c r="D13" s="9"/>
      <c r="E13" s="32"/>
      <c r="F13" s="32"/>
      <c r="G13" s="32"/>
      <c r="H13" s="32"/>
      <c r="I13" s="32"/>
      <c r="J13" s="20" t="str">
        <f>IF(ISBLANK(E13)=TRUE,"",VLOOKUP(_xlfn.CONCAT(B13," ",C13," ",D13),kengetallen_woningen!H$25:I$264,2,FALSE))</f>
        <v/>
      </c>
      <c r="K13" s="20" t="str">
        <f>IF(ISBLANK(E13)=TRUE,"",VLOOKUP(_xlfn.CONCAT(B13," ",C13," ",D13),kengetallen_woningen!H$25:J$264,3,FALSE))</f>
        <v/>
      </c>
      <c r="L13" s="1" t="str">
        <f t="shared" si="0"/>
        <v/>
      </c>
      <c r="M13" s="9"/>
      <c r="N13" s="20" t="str">
        <f>IF(ISBLANK(M13)=TRUE,"",VLOOKUP($M13,kengetallen_energielasten!$A$6:B$15,2))</f>
        <v/>
      </c>
      <c r="O13" s="20" t="str">
        <f>IF(ISBLANK(M13)=TRUE,"",VLOOKUP($M13,kengetallen_energielasten!$A$6:C$15,3))</f>
        <v/>
      </c>
      <c r="P13" s="20" t="str">
        <f>IF(ISBLANK(M13)=TRUE,"",IF(VLOOKUP($M13,kengetallen_energielasten!$A$6:D$15,4)="N/A",0,(VLOOKUP($M13,kengetallen_energielasten!$A$6:D$15,4))+(VLOOKUP(B13,'bijlage - huishoudelijk gebruik'!A$10:B$14,2))))</f>
        <v/>
      </c>
      <c r="Q13" s="20" t="str">
        <f>IF(ISBLANK(M13)=TRUE,"",VLOOKUP($M13,kengetallen_energielasten!$A$6:E$15,5))</f>
        <v/>
      </c>
      <c r="R13" s="32"/>
    </row>
    <row r="14" spans="1:19" x14ac:dyDescent="0.3">
      <c r="A14" s="1" t="s">
        <v>31</v>
      </c>
      <c r="B14" s="8"/>
      <c r="C14" s="9"/>
      <c r="D14" s="9"/>
      <c r="E14" s="32"/>
      <c r="F14" s="32"/>
      <c r="G14" s="32"/>
      <c r="H14" s="32"/>
      <c r="I14" s="32"/>
      <c r="J14" s="20" t="str">
        <f>IF(ISBLANK(E14)=TRUE,"",VLOOKUP(_xlfn.CONCAT(B14," ",C14," ",D14),kengetallen_woningen!H$25:I$264,2,FALSE))</f>
        <v/>
      </c>
      <c r="K14" s="20" t="str">
        <f>IF(ISBLANK(E14)=TRUE,"",VLOOKUP(_xlfn.CONCAT(B14," ",C14," ",D14),kengetallen_woningen!H$25:J$264,3,FALSE))</f>
        <v/>
      </c>
      <c r="L14" s="1" t="str">
        <f t="shared" si="0"/>
        <v/>
      </c>
      <c r="M14" s="9"/>
      <c r="N14" s="20" t="str">
        <f>IF(ISBLANK(M14)=TRUE,"",VLOOKUP($M14,kengetallen_energielasten!$A$6:B$15,2))</f>
        <v/>
      </c>
      <c r="O14" s="20" t="str">
        <f>IF(ISBLANK(M14)=TRUE,"",VLOOKUP($M14,kengetallen_energielasten!$A$6:C$15,3))</f>
        <v/>
      </c>
      <c r="P14" s="20" t="str">
        <f>IF(ISBLANK(M14)=TRUE,"",IF(VLOOKUP($M14,kengetallen_energielasten!$A$6:D$15,4)="N/A",0,(VLOOKUP($M14,kengetallen_energielasten!$A$6:D$15,4))+(VLOOKUP(B14,'bijlage - huishoudelijk gebruik'!A$10:B$14,2))))</f>
        <v/>
      </c>
      <c r="Q14" s="20" t="str">
        <f>IF(ISBLANK(M14)=TRUE,"",VLOOKUP($M14,kengetallen_energielasten!$A$6:E$15,5))</f>
        <v/>
      </c>
      <c r="R14" s="32"/>
    </row>
    <row r="15" spans="1:19" x14ac:dyDescent="0.3">
      <c r="A15" s="1" t="s">
        <v>32</v>
      </c>
      <c r="B15" s="8"/>
      <c r="C15" s="9"/>
      <c r="D15" s="9"/>
      <c r="E15" s="32"/>
      <c r="F15" s="32"/>
      <c r="G15" s="32"/>
      <c r="H15" s="32"/>
      <c r="I15" s="32"/>
      <c r="J15" s="20" t="str">
        <f>IF(ISBLANK(E15)=TRUE,"",VLOOKUP(_xlfn.CONCAT(B15," ",C15," ",D15),kengetallen_woningen!H$25:I$264,2,FALSE))</f>
        <v/>
      </c>
      <c r="K15" s="20" t="str">
        <f>IF(ISBLANK(E15)=TRUE,"",VLOOKUP(_xlfn.CONCAT(B15," ",C15," ",D15),kengetallen_woningen!H$25:J$264,3,FALSE))</f>
        <v/>
      </c>
      <c r="L15" s="1" t="str">
        <f t="shared" si="0"/>
        <v/>
      </c>
      <c r="M15" s="9"/>
      <c r="N15" s="20" t="str">
        <f>IF(ISBLANK(M15)=TRUE,"",VLOOKUP($M15,kengetallen_energielasten!$A$6:B$15,2))</f>
        <v/>
      </c>
      <c r="O15" s="20" t="str">
        <f>IF(ISBLANK(M15)=TRUE,"",VLOOKUP($M15,kengetallen_energielasten!$A$6:C$15,3))</f>
        <v/>
      </c>
      <c r="P15" s="20" t="str">
        <f>IF(ISBLANK(M15)=TRUE,"",IF(VLOOKUP($M15,kengetallen_energielasten!$A$6:D$15,4)="N/A",0,(VLOOKUP($M15,kengetallen_energielasten!$A$6:D$15,4))+(VLOOKUP(B15,'bijlage - huishoudelijk gebruik'!A$10:B$14,2))))</f>
        <v/>
      </c>
      <c r="Q15" s="20" t="str">
        <f>IF(ISBLANK(M15)=TRUE,"",VLOOKUP($M15,kengetallen_energielasten!$A$6:E$15,5))</f>
        <v/>
      </c>
      <c r="R15" s="32"/>
    </row>
    <row r="16" spans="1:19" x14ac:dyDescent="0.3">
      <c r="A16" s="1" t="s">
        <v>33</v>
      </c>
      <c r="B16" s="8"/>
      <c r="C16" s="9"/>
      <c r="D16" s="9"/>
      <c r="E16" s="32"/>
      <c r="F16" s="32"/>
      <c r="G16" s="32"/>
      <c r="H16" s="32"/>
      <c r="I16" s="32"/>
      <c r="J16" s="20" t="str">
        <f>IF(ISBLANK(E16)=TRUE,"",VLOOKUP(_xlfn.CONCAT(B16," ",C16," ",D16),kengetallen_woningen!H$25:I$264,2,FALSE))</f>
        <v/>
      </c>
      <c r="K16" s="20" t="str">
        <f>IF(ISBLANK(E16)=TRUE,"",VLOOKUP(_xlfn.CONCAT(B16," ",C16," ",D16),kengetallen_woningen!H$25:J$264,3,FALSE))</f>
        <v/>
      </c>
      <c r="L16" s="1" t="str">
        <f t="shared" ref="L16:L22" si="1">IF(ISBLANK(E16)=TRUE,"",0)</f>
        <v/>
      </c>
      <c r="M16" s="9"/>
      <c r="N16" s="20" t="str">
        <f>IF(ISBLANK(M16)=TRUE,"",VLOOKUP($M16,kengetallen_energielasten!$A$6:B$15,2))</f>
        <v/>
      </c>
      <c r="O16" s="20" t="str">
        <f>IF(ISBLANK(M16)=TRUE,"",VLOOKUP($M16,kengetallen_energielasten!$A$6:C$15,3))</f>
        <v/>
      </c>
      <c r="P16" s="20" t="str">
        <f>IF(ISBLANK(M16)=TRUE,"",IF(VLOOKUP($M16,kengetallen_energielasten!$A$6:D$15,4)="N/A",0,(VLOOKUP($M16,kengetallen_energielasten!$A$6:D$15,4))+(VLOOKUP(B16,'bijlage - huishoudelijk gebruik'!A$10:B$14,2))))</f>
        <v/>
      </c>
      <c r="Q16" s="20" t="str">
        <f>IF(ISBLANK(M16)=TRUE,"",VLOOKUP($M16,kengetallen_energielasten!$A$6:E$15,5))</f>
        <v/>
      </c>
      <c r="R16" s="32"/>
    </row>
    <row r="17" spans="1:18" x14ac:dyDescent="0.3">
      <c r="A17" s="1" t="s">
        <v>34</v>
      </c>
      <c r="B17" s="8"/>
      <c r="C17" s="9"/>
      <c r="D17" s="9"/>
      <c r="E17" s="32"/>
      <c r="F17" s="32"/>
      <c r="G17" s="32"/>
      <c r="H17" s="32"/>
      <c r="I17" s="32"/>
      <c r="J17" s="20" t="str">
        <f>IF(ISBLANK(E17)=TRUE,"",VLOOKUP(_xlfn.CONCAT(B17," ",C17," ",D17),kengetallen_woningen!H$25:I$264,2,FALSE))</f>
        <v/>
      </c>
      <c r="K17" s="20" t="str">
        <f>IF(ISBLANK(E17)=TRUE,"",VLOOKUP(_xlfn.CONCAT(B17," ",C17," ",D17),kengetallen_woningen!H$25:J$264,3,FALSE))</f>
        <v/>
      </c>
      <c r="L17" s="1" t="str">
        <f t="shared" si="1"/>
        <v/>
      </c>
      <c r="M17" s="9"/>
      <c r="N17" s="20" t="str">
        <f>IF(ISBLANK(M17)=TRUE,"",VLOOKUP($M17,kengetallen_energielasten!$A$6:B$15,2))</f>
        <v/>
      </c>
      <c r="O17" s="20" t="str">
        <f>IF(ISBLANK(M17)=TRUE,"",VLOOKUP($M17,kengetallen_energielasten!$A$6:C$15,3))</f>
        <v/>
      </c>
      <c r="P17" s="20" t="str">
        <f>IF(ISBLANK(M17)=TRUE,"",IF(VLOOKUP($M17,kengetallen_energielasten!$A$6:D$15,4)="N/A",0,(VLOOKUP($M17,kengetallen_energielasten!$A$6:D$15,4))+(VLOOKUP(B17,'bijlage - huishoudelijk gebruik'!A$10:B$14,2))))</f>
        <v/>
      </c>
      <c r="Q17" s="20" t="str">
        <f>IF(ISBLANK(M17)=TRUE,"",VLOOKUP($M17,kengetallen_energielasten!$A$6:E$15,5))</f>
        <v/>
      </c>
      <c r="R17" s="32"/>
    </row>
    <row r="18" spans="1:18" x14ac:dyDescent="0.3">
      <c r="A18" s="1" t="s">
        <v>35</v>
      </c>
      <c r="B18" s="8"/>
      <c r="C18" s="9"/>
      <c r="D18" s="9"/>
      <c r="E18" s="32"/>
      <c r="F18" s="32"/>
      <c r="G18" s="32"/>
      <c r="H18" s="32"/>
      <c r="I18" s="32"/>
      <c r="J18" s="20" t="str">
        <f>IF(ISBLANK(E18)=TRUE,"",VLOOKUP(_xlfn.CONCAT(B18," ",C18," ",D18),kengetallen_woningen!H$25:I$264,2,FALSE))</f>
        <v/>
      </c>
      <c r="K18" s="20" t="str">
        <f>IF(ISBLANK(E18)=TRUE,"",VLOOKUP(_xlfn.CONCAT(B18," ",C18," ",D18),kengetallen_woningen!H$25:J$264,3,FALSE))</f>
        <v/>
      </c>
      <c r="L18" s="1" t="str">
        <f t="shared" si="1"/>
        <v/>
      </c>
      <c r="M18" s="9"/>
      <c r="N18" s="20" t="str">
        <f>IF(ISBLANK(M18)=TRUE,"",VLOOKUP($M18,kengetallen_energielasten!$A$6:B$15,2))</f>
        <v/>
      </c>
      <c r="O18" s="20" t="str">
        <f>IF(ISBLANK(M18)=TRUE,"",VLOOKUP($M18,kengetallen_energielasten!$A$6:C$15,3))</f>
        <v/>
      </c>
      <c r="P18" s="20" t="str">
        <f>IF(ISBLANK(M18)=TRUE,"",IF(VLOOKUP($M18,kengetallen_energielasten!$A$6:D$15,4)="N/A",0,(VLOOKUP($M18,kengetallen_energielasten!$A$6:D$15,4))+(VLOOKUP(B18,'bijlage - huishoudelijk gebruik'!A$10:B$14,2))))</f>
        <v/>
      </c>
      <c r="Q18" s="20" t="str">
        <f>IF(ISBLANK(M18)=TRUE,"",VLOOKUP($M18,kengetallen_energielasten!$A$6:E$15,5))</f>
        <v/>
      </c>
      <c r="R18" s="32"/>
    </row>
    <row r="19" spans="1:18" x14ac:dyDescent="0.3">
      <c r="A19" s="1" t="s">
        <v>36</v>
      </c>
      <c r="B19" s="8"/>
      <c r="C19" s="9"/>
      <c r="D19" s="9"/>
      <c r="E19" s="32"/>
      <c r="F19" s="32"/>
      <c r="G19" s="32"/>
      <c r="H19" s="32"/>
      <c r="I19" s="32"/>
      <c r="J19" s="20" t="str">
        <f>IF(ISBLANK(E19)=TRUE,"",VLOOKUP(_xlfn.CONCAT(B19," ",C19," ",D19),kengetallen_woningen!H$25:I$264,2,FALSE))</f>
        <v/>
      </c>
      <c r="K19" s="20" t="str">
        <f>IF(ISBLANK(E19)=TRUE,"",VLOOKUP(_xlfn.CONCAT(B19," ",C19," ",D19),kengetallen_woningen!H$25:J$264,3,FALSE))</f>
        <v/>
      </c>
      <c r="L19" s="1" t="str">
        <f t="shared" si="1"/>
        <v/>
      </c>
      <c r="M19" s="9"/>
      <c r="N19" s="20" t="str">
        <f>IF(ISBLANK(M19)=TRUE,"",VLOOKUP($M19,kengetallen_energielasten!$A$6:B$15,2))</f>
        <v/>
      </c>
      <c r="O19" s="20" t="str">
        <f>IF(ISBLANK(M19)=TRUE,"",VLOOKUP($M19,kengetallen_energielasten!$A$6:C$15,3))</f>
        <v/>
      </c>
      <c r="P19" s="20" t="str">
        <f>IF(ISBLANK(M19)=TRUE,"",IF(VLOOKUP($M19,kengetallen_energielasten!$A$6:D$15,4)="N/A",0,(VLOOKUP($M19,kengetallen_energielasten!$A$6:D$15,4))+(VLOOKUP(B19,'bijlage - huishoudelijk gebruik'!A$10:B$14,2))))</f>
        <v/>
      </c>
      <c r="Q19" s="20" t="str">
        <f>IF(ISBLANK(M19)=TRUE,"",VLOOKUP($M19,kengetallen_energielasten!$A$6:E$15,5))</f>
        <v/>
      </c>
      <c r="R19" s="32"/>
    </row>
    <row r="20" spans="1:18" x14ac:dyDescent="0.3">
      <c r="A20" s="1" t="s">
        <v>297</v>
      </c>
      <c r="B20" s="8"/>
      <c r="C20" s="9"/>
      <c r="D20" s="9"/>
      <c r="E20" s="32"/>
      <c r="F20" s="32"/>
      <c r="G20" s="32"/>
      <c r="H20" s="32"/>
      <c r="I20" s="32"/>
      <c r="J20" s="20" t="str">
        <f>IF(ISBLANK(E20)=TRUE,"",VLOOKUP(_xlfn.CONCAT(B20," ",C20," ",D20),kengetallen_woningen!H$25:I$264,2,FALSE))</f>
        <v/>
      </c>
      <c r="K20" s="20" t="str">
        <f>IF(ISBLANK(E20)=TRUE,"",VLOOKUP(_xlfn.CONCAT(B20," ",C20," ",D20),kengetallen_woningen!H$25:J$264,3,FALSE))</f>
        <v/>
      </c>
      <c r="L20" s="1" t="str">
        <f t="shared" si="1"/>
        <v/>
      </c>
      <c r="M20" s="9"/>
      <c r="N20" s="20" t="str">
        <f>IF(ISBLANK(M20)=TRUE,"",VLOOKUP($M20,kengetallen_energielasten!$A$6:B$15,2))</f>
        <v/>
      </c>
      <c r="O20" s="20" t="str">
        <f>IF(ISBLANK(M20)=TRUE,"",VLOOKUP($M20,kengetallen_energielasten!$A$6:C$15,3))</f>
        <v/>
      </c>
      <c r="P20" s="20" t="str">
        <f>IF(ISBLANK(M20)=TRUE,"",IF(VLOOKUP($M20,kengetallen_energielasten!$A$6:D$15,4)="N/A",0,(VLOOKUP($M20,kengetallen_energielasten!$A$6:D$15,4))+(VLOOKUP(B20,'bijlage - huishoudelijk gebruik'!A$10:B$14,2))))</f>
        <v/>
      </c>
      <c r="Q20" s="20" t="str">
        <f>IF(ISBLANK(M20)=TRUE,"",VLOOKUP($M20,kengetallen_energielasten!$A$6:E$15,5))</f>
        <v/>
      </c>
      <c r="R20" s="32"/>
    </row>
    <row r="21" spans="1:18" x14ac:dyDescent="0.3">
      <c r="A21" s="1" t="s">
        <v>298</v>
      </c>
      <c r="B21" s="8"/>
      <c r="C21" s="9"/>
      <c r="D21" s="9"/>
      <c r="E21" s="32"/>
      <c r="F21" s="32"/>
      <c r="G21" s="32"/>
      <c r="H21" s="32"/>
      <c r="I21" s="32"/>
      <c r="J21" s="20" t="str">
        <f>IF(ISBLANK(E21)=TRUE,"",VLOOKUP(_xlfn.CONCAT(B21," ",C21," ",D21),kengetallen_woningen!H$25:I$264,2,FALSE))</f>
        <v/>
      </c>
      <c r="K21" s="20" t="str">
        <f>IF(ISBLANK(E21)=TRUE,"",VLOOKUP(_xlfn.CONCAT(B21," ",C21," ",D21),kengetallen_woningen!H$25:J$264,3,FALSE))</f>
        <v/>
      </c>
      <c r="L21" s="1" t="str">
        <f t="shared" si="1"/>
        <v/>
      </c>
      <c r="M21" s="9"/>
      <c r="N21" s="20" t="str">
        <f>IF(ISBLANK(M21)=TRUE,"",VLOOKUP($M21,kengetallen_energielasten!$A$6:B$15,2))</f>
        <v/>
      </c>
      <c r="O21" s="20" t="str">
        <f>IF(ISBLANK(M21)=TRUE,"",VLOOKUP($M21,kengetallen_energielasten!$A$6:C$15,3))</f>
        <v/>
      </c>
      <c r="P21" s="20" t="str">
        <f>IF(ISBLANK(M21)=TRUE,"",IF(VLOOKUP($M21,kengetallen_energielasten!$A$6:D$15,4)="N/A",0,(VLOOKUP($M21,kengetallen_energielasten!$A$6:D$15,4))+(VLOOKUP(B21,'bijlage - huishoudelijk gebruik'!A$10:B$14,2))))</f>
        <v/>
      </c>
      <c r="Q21" s="20" t="str">
        <f>IF(ISBLANK(M21)=TRUE,"",VLOOKUP($M21,kengetallen_energielasten!$A$6:E$15,5))</f>
        <v/>
      </c>
      <c r="R21" s="32"/>
    </row>
    <row r="22" spans="1:18" x14ac:dyDescent="0.3">
      <c r="A22" s="1" t="s">
        <v>299</v>
      </c>
      <c r="B22" s="8"/>
      <c r="C22" s="9"/>
      <c r="D22" s="9"/>
      <c r="E22" s="32"/>
      <c r="F22" s="32"/>
      <c r="G22" s="32"/>
      <c r="H22" s="32"/>
      <c r="I22" s="32"/>
      <c r="J22" s="20" t="str">
        <f>IF(ISBLANK(E22)=TRUE,"",VLOOKUP(_xlfn.CONCAT(B22," ",C22," ",D22),kengetallen_woningen!H$25:I$264,2,FALSE))</f>
        <v/>
      </c>
      <c r="K22" s="20" t="str">
        <f>IF(ISBLANK(E22)=TRUE,"",VLOOKUP(_xlfn.CONCAT(B22," ",C22," ",D22),kengetallen_woningen!H$25:J$264,3,FALSE))</f>
        <v/>
      </c>
      <c r="L22" s="1" t="str">
        <f t="shared" si="1"/>
        <v/>
      </c>
      <c r="M22" s="9"/>
      <c r="N22" s="20" t="str">
        <f>IF(ISBLANK(M22)=TRUE,"",VLOOKUP($M22,kengetallen_energielasten!$A$6:B$15,2))</f>
        <v/>
      </c>
      <c r="O22" s="20" t="str">
        <f>IF(ISBLANK(M22)=TRUE,"",VLOOKUP($M22,kengetallen_energielasten!$A$6:C$15,3))</f>
        <v/>
      </c>
      <c r="P22" s="20" t="str">
        <f>IF(ISBLANK(M22)=TRUE,"",IF(VLOOKUP($M22,kengetallen_energielasten!$A$6:D$15,4)="N/A",0,(VLOOKUP($M22,kengetallen_energielasten!$A$6:D$15,4))+(VLOOKUP(B22,'bijlage - huishoudelijk gebruik'!A$10:B$14,2))))</f>
        <v/>
      </c>
      <c r="Q22" s="20" t="str">
        <f>IF(ISBLANK(M22)=TRUE,"",VLOOKUP($M22,kengetallen_energielasten!$A$6:E$15,5))</f>
        <v/>
      </c>
      <c r="R22" s="32"/>
    </row>
    <row r="23" spans="1:18" x14ac:dyDescent="0.3">
      <c r="A23" s="1" t="s">
        <v>300</v>
      </c>
      <c r="B23" s="8"/>
      <c r="C23" s="9"/>
      <c r="D23" s="9"/>
      <c r="E23" s="32"/>
      <c r="F23" s="32"/>
      <c r="G23" s="32"/>
      <c r="H23" s="32"/>
      <c r="I23" s="32"/>
      <c r="J23" s="20" t="str">
        <f>IF(ISBLANK(E23)=TRUE,"",VLOOKUP(_xlfn.CONCAT(B23," ",C23," ",D23),kengetallen_woningen!H$25:I$264,2,FALSE))</f>
        <v/>
      </c>
      <c r="K23" s="20" t="str">
        <f>IF(ISBLANK(E23)=TRUE,"",VLOOKUP(_xlfn.CONCAT(B23," ",C23," ",D23),kengetallen_woningen!H$25:J$264,3,FALSE))</f>
        <v/>
      </c>
      <c r="L23" s="1" t="str">
        <f t="shared" ref="L23:L37" si="2">IF(ISBLANK(E23)=TRUE,"",0)</f>
        <v/>
      </c>
      <c r="M23" s="9"/>
      <c r="N23" s="20" t="str">
        <f>IF(ISBLANK(M23)=TRUE,"",VLOOKUP($M23,kengetallen_energielasten!$A$6:B$15,2))</f>
        <v/>
      </c>
      <c r="O23" s="20" t="str">
        <f>IF(ISBLANK(M23)=TRUE,"",VLOOKUP($M23,kengetallen_energielasten!$A$6:C$15,3))</f>
        <v/>
      </c>
      <c r="P23" s="20" t="str">
        <f>IF(ISBLANK(M23)=TRUE,"",IF(VLOOKUP($M23,kengetallen_energielasten!$A$6:D$15,4)="N/A",0,(VLOOKUP($M23,kengetallen_energielasten!$A$6:D$15,4))+(VLOOKUP(B23,'bijlage - huishoudelijk gebruik'!A$10:B$14,2))))</f>
        <v/>
      </c>
      <c r="Q23" s="20" t="str">
        <f>IF(ISBLANK(M23)=TRUE,"",VLOOKUP($M23,kengetallen_energielasten!$A$6:E$15,5))</f>
        <v/>
      </c>
      <c r="R23" s="32"/>
    </row>
    <row r="24" spans="1:18" hidden="1" outlineLevel="1" x14ac:dyDescent="0.3">
      <c r="A24" s="1" t="s">
        <v>301</v>
      </c>
      <c r="B24" s="8"/>
      <c r="C24" s="9"/>
      <c r="D24" s="9"/>
      <c r="E24" s="32"/>
      <c r="F24" s="32"/>
      <c r="G24" s="32"/>
      <c r="H24" s="32"/>
      <c r="I24" s="32"/>
      <c r="J24" s="20" t="str">
        <f>IF(ISBLANK(E24)=TRUE,"",VLOOKUP(_xlfn.CONCAT(B24," ",C24," ",D24),kengetallen_woningen!H$25:I$264,2,FALSE))</f>
        <v/>
      </c>
      <c r="K24" s="20" t="str">
        <f>IF(ISBLANK(E24)=TRUE,"",VLOOKUP(_xlfn.CONCAT(B24," ",C24," ",D24),kengetallen_woningen!H$25:J$264,3,FALSE))</f>
        <v/>
      </c>
      <c r="L24" s="1" t="str">
        <f t="shared" si="2"/>
        <v/>
      </c>
      <c r="M24" s="9"/>
      <c r="N24" s="20" t="str">
        <f>IF(ISBLANK(M24)=TRUE,"",VLOOKUP($M24,kengetallen_energielasten!$A$6:B$15,2))</f>
        <v/>
      </c>
      <c r="O24" s="20" t="str">
        <f>IF(ISBLANK(M24)=TRUE,"",VLOOKUP($M24,kengetallen_energielasten!$A$6:C$15,3))</f>
        <v/>
      </c>
      <c r="P24" s="20" t="str">
        <f>IF(ISBLANK(M24)=TRUE,"",IF(VLOOKUP($M24,kengetallen_energielasten!$A$6:D$15,4)="N/A",0,(VLOOKUP($M24,kengetallen_energielasten!$A$6:D$15,4))+(VLOOKUP(B24,'bijlage - huishoudelijk gebruik'!A$10:B$14,2))))</f>
        <v/>
      </c>
      <c r="Q24" s="20" t="str">
        <f>IF(ISBLANK(M24)=TRUE,"",VLOOKUP($M24,kengetallen_energielasten!$A$6:E$15,5))</f>
        <v/>
      </c>
      <c r="R24" s="32"/>
    </row>
    <row r="25" spans="1:18" hidden="1" outlineLevel="1" x14ac:dyDescent="0.3">
      <c r="A25" s="1" t="s">
        <v>302</v>
      </c>
      <c r="B25" s="8"/>
      <c r="C25" s="9"/>
      <c r="D25" s="9"/>
      <c r="E25" s="32"/>
      <c r="F25" s="32"/>
      <c r="G25" s="32"/>
      <c r="H25" s="32"/>
      <c r="I25" s="32"/>
      <c r="J25" s="20" t="str">
        <f>IF(ISBLANK(E25)=TRUE,"",VLOOKUP(_xlfn.CONCAT(B25," ",C25," ",D25),kengetallen_woningen!H$25:I$264,2,FALSE))</f>
        <v/>
      </c>
      <c r="K25" s="20" t="str">
        <f>IF(ISBLANK(E25)=TRUE,"",VLOOKUP(_xlfn.CONCAT(B25," ",C25," ",D25),kengetallen_woningen!H$25:J$264,3,FALSE))</f>
        <v/>
      </c>
      <c r="L25" s="1" t="str">
        <f t="shared" si="2"/>
        <v/>
      </c>
      <c r="M25" s="9"/>
      <c r="N25" s="20" t="str">
        <f>IF(ISBLANK(M25)=TRUE,"",VLOOKUP($M25,kengetallen_energielasten!$A$6:B$15,2))</f>
        <v/>
      </c>
      <c r="O25" s="20" t="str">
        <f>IF(ISBLANK(M25)=TRUE,"",VLOOKUP($M25,kengetallen_energielasten!$A$6:C$15,3))</f>
        <v/>
      </c>
      <c r="P25" s="20" t="str">
        <f>IF(ISBLANK(M25)=TRUE,"",IF(VLOOKUP($M25,kengetallen_energielasten!$A$6:D$15,4)="N/A",0,(VLOOKUP($M25,kengetallen_energielasten!$A$6:D$15,4))+(VLOOKUP(B25,'bijlage - huishoudelijk gebruik'!A$10:B$14,2))))</f>
        <v/>
      </c>
      <c r="Q25" s="20" t="str">
        <f>IF(ISBLANK(M25)=TRUE,"",VLOOKUP($M25,kengetallen_energielasten!$A$6:E$15,5))</f>
        <v/>
      </c>
      <c r="R25" s="32"/>
    </row>
    <row r="26" spans="1:18" hidden="1" outlineLevel="1" x14ac:dyDescent="0.3">
      <c r="A26" s="1" t="s">
        <v>303</v>
      </c>
      <c r="B26" s="8"/>
      <c r="C26" s="9"/>
      <c r="D26" s="9"/>
      <c r="E26" s="32"/>
      <c r="F26" s="32"/>
      <c r="G26" s="32"/>
      <c r="H26" s="32"/>
      <c r="I26" s="32"/>
      <c r="J26" s="20" t="str">
        <f>IF(ISBLANK(E26)=TRUE,"",VLOOKUP(_xlfn.CONCAT(B26," ",C26," ",D26),kengetallen_woningen!H$25:I$264,2,FALSE))</f>
        <v/>
      </c>
      <c r="K26" s="20" t="str">
        <f>IF(ISBLANK(E26)=TRUE,"",VLOOKUP(_xlfn.CONCAT(B26," ",C26," ",D26),kengetallen_woningen!H$25:J$264,3,FALSE))</f>
        <v/>
      </c>
      <c r="L26" s="1" t="str">
        <f t="shared" si="2"/>
        <v/>
      </c>
      <c r="M26" s="9"/>
      <c r="N26" s="20" t="str">
        <f>IF(ISBLANK(M26)=TRUE,"",VLOOKUP($M26,kengetallen_energielasten!$A$6:B$15,2))</f>
        <v/>
      </c>
      <c r="O26" s="20" t="str">
        <f>IF(ISBLANK(M26)=TRUE,"",VLOOKUP($M26,kengetallen_energielasten!$A$6:C$15,3))</f>
        <v/>
      </c>
      <c r="P26" s="20" t="str">
        <f>IF(ISBLANK(M26)=TRUE,"",IF(VLOOKUP($M26,kengetallen_energielasten!$A$6:D$15,4)="N/A",0,(VLOOKUP($M26,kengetallen_energielasten!$A$6:D$15,4))+(VLOOKUP(B26,'bijlage - huishoudelijk gebruik'!A$10:B$14,2))))</f>
        <v/>
      </c>
      <c r="Q26" s="20" t="str">
        <f>IF(ISBLANK(M26)=TRUE,"",VLOOKUP($M26,kengetallen_energielasten!$A$6:E$15,5))</f>
        <v/>
      </c>
      <c r="R26" s="32"/>
    </row>
    <row r="27" spans="1:18" hidden="1" outlineLevel="1" x14ac:dyDescent="0.3">
      <c r="A27" s="1" t="s">
        <v>304</v>
      </c>
      <c r="B27" s="8"/>
      <c r="C27" s="9"/>
      <c r="D27" s="9"/>
      <c r="E27" s="32"/>
      <c r="F27" s="32"/>
      <c r="G27" s="32"/>
      <c r="H27" s="32"/>
      <c r="I27" s="32"/>
      <c r="J27" s="20" t="str">
        <f>IF(ISBLANK(E27)=TRUE,"",VLOOKUP(_xlfn.CONCAT(B27," ",C27," ",D27),kengetallen_woningen!H$25:I$264,2,FALSE))</f>
        <v/>
      </c>
      <c r="K27" s="20" t="str">
        <f>IF(ISBLANK(E27)=TRUE,"",VLOOKUP(_xlfn.CONCAT(B27," ",C27," ",D27),kengetallen_woningen!H$25:J$264,3,FALSE))</f>
        <v/>
      </c>
      <c r="L27" s="1" t="str">
        <f t="shared" si="2"/>
        <v/>
      </c>
      <c r="M27" s="9"/>
      <c r="N27" s="20" t="str">
        <f>IF(ISBLANK(M27)=TRUE,"",VLOOKUP($M27,kengetallen_energielasten!$A$6:B$15,2))</f>
        <v/>
      </c>
      <c r="O27" s="20" t="str">
        <f>IF(ISBLANK(M27)=TRUE,"",VLOOKUP($M27,kengetallen_energielasten!$A$6:C$15,3))</f>
        <v/>
      </c>
      <c r="P27" s="20" t="str">
        <f>IF(ISBLANK(M27)=TRUE,"",IF(VLOOKUP($M27,kengetallen_energielasten!$A$6:D$15,4)="N/A",0,(VLOOKUP($M27,kengetallen_energielasten!$A$6:D$15,4))+(VLOOKUP(B27,'bijlage - huishoudelijk gebruik'!A$10:B$14,2))))</f>
        <v/>
      </c>
      <c r="Q27" s="20" t="str">
        <f>IF(ISBLANK(M27)=TRUE,"",VLOOKUP($M27,kengetallen_energielasten!$A$6:E$15,5))</f>
        <v/>
      </c>
      <c r="R27" s="32"/>
    </row>
    <row r="28" spans="1:18" hidden="1" outlineLevel="1" x14ac:dyDescent="0.3">
      <c r="A28" s="1" t="s">
        <v>325</v>
      </c>
      <c r="B28" s="8"/>
      <c r="C28" s="9"/>
      <c r="D28" s="9"/>
      <c r="E28" s="32"/>
      <c r="F28" s="32"/>
      <c r="G28" s="32"/>
      <c r="H28" s="32"/>
      <c r="I28" s="32"/>
      <c r="J28" s="20" t="str">
        <f>IF(ISBLANK(E28)=TRUE,"",VLOOKUP(_xlfn.CONCAT(B28," ",C28," ",D28),kengetallen_woningen!H$25:I$264,2,FALSE))</f>
        <v/>
      </c>
      <c r="K28" s="20" t="str">
        <f>IF(ISBLANK(E28)=TRUE,"",VLOOKUP(_xlfn.CONCAT(B28," ",C28," ",D28),kengetallen_woningen!H$25:J$264,3,FALSE))</f>
        <v/>
      </c>
      <c r="L28" s="1" t="str">
        <f t="shared" si="2"/>
        <v/>
      </c>
      <c r="M28" s="9"/>
      <c r="N28" s="20" t="str">
        <f>IF(ISBLANK(M28)=TRUE,"",VLOOKUP($M28,kengetallen_energielasten!$A$6:B$15,2))</f>
        <v/>
      </c>
      <c r="O28" s="20" t="str">
        <f>IF(ISBLANK(M28)=TRUE,"",VLOOKUP($M28,kengetallen_energielasten!$A$6:C$15,3))</f>
        <v/>
      </c>
      <c r="P28" s="20" t="str">
        <f>IF(ISBLANK(M28)=TRUE,"",IF(VLOOKUP($M28,kengetallen_energielasten!$A$6:D$15,4)="N/A",0,(VLOOKUP($M28,kengetallen_energielasten!$A$6:D$15,4))+(VLOOKUP(B28,'bijlage - huishoudelijk gebruik'!A$10:B$14,2))))</f>
        <v/>
      </c>
      <c r="Q28" s="20" t="str">
        <f>IF(ISBLANK(M28)=TRUE,"",VLOOKUP($M28,kengetallen_energielasten!$A$6:E$15,5))</f>
        <v/>
      </c>
      <c r="R28" s="32"/>
    </row>
    <row r="29" spans="1:18" hidden="1" outlineLevel="1" x14ac:dyDescent="0.3">
      <c r="A29" s="1" t="s">
        <v>326</v>
      </c>
      <c r="B29" s="8"/>
      <c r="C29" s="9"/>
      <c r="D29" s="9"/>
      <c r="E29" s="32"/>
      <c r="F29" s="32"/>
      <c r="G29" s="32"/>
      <c r="H29" s="32"/>
      <c r="I29" s="32"/>
      <c r="J29" s="20" t="str">
        <f>IF(ISBLANK(E29)=TRUE,"",VLOOKUP(_xlfn.CONCAT(B29," ",C29," ",D29),kengetallen_woningen!H$25:I$264,2,FALSE))</f>
        <v/>
      </c>
      <c r="K29" s="20" t="str">
        <f>IF(ISBLANK(E29)=TRUE,"",VLOOKUP(_xlfn.CONCAT(B29," ",C29," ",D29),kengetallen_woningen!H$25:J$264,3,FALSE))</f>
        <v/>
      </c>
      <c r="L29" s="1" t="str">
        <f t="shared" si="2"/>
        <v/>
      </c>
      <c r="M29" s="9"/>
      <c r="N29" s="20" t="str">
        <f>IF(ISBLANK(M29)=TRUE,"",VLOOKUP($M29,kengetallen_energielasten!$A$6:B$15,2))</f>
        <v/>
      </c>
      <c r="O29" s="20" t="str">
        <f>IF(ISBLANK(M29)=TRUE,"",VLOOKUP($M29,kengetallen_energielasten!$A$6:C$15,3))</f>
        <v/>
      </c>
      <c r="P29" s="20" t="str">
        <f>IF(ISBLANK(M29)=TRUE,"",IF(VLOOKUP($M29,kengetallen_energielasten!$A$6:D$15,4)="N/A",0,(VLOOKUP($M29,kengetallen_energielasten!$A$6:D$15,4))+(VLOOKUP(B29,'bijlage - huishoudelijk gebruik'!A$10:B$14,2))))</f>
        <v/>
      </c>
      <c r="Q29" s="20" t="str">
        <f>IF(ISBLANK(M29)=TRUE,"",VLOOKUP($M29,kengetallen_energielasten!$A$6:E$15,5))</f>
        <v/>
      </c>
      <c r="R29" s="32"/>
    </row>
    <row r="30" spans="1:18" hidden="1" outlineLevel="1" x14ac:dyDescent="0.3">
      <c r="A30" s="1" t="s">
        <v>327</v>
      </c>
      <c r="B30" s="8"/>
      <c r="C30" s="9"/>
      <c r="D30" s="9"/>
      <c r="E30" s="32"/>
      <c r="F30" s="32"/>
      <c r="G30" s="32"/>
      <c r="H30" s="32"/>
      <c r="I30" s="32"/>
      <c r="J30" s="20" t="str">
        <f>IF(ISBLANK(E30)=TRUE,"",VLOOKUP(_xlfn.CONCAT(B30," ",C30," ",D30),kengetallen_woningen!H$25:I$264,2,FALSE))</f>
        <v/>
      </c>
      <c r="K30" s="20" t="str">
        <f>IF(ISBLANK(E30)=TRUE,"",VLOOKUP(_xlfn.CONCAT(B30," ",C30," ",D30),kengetallen_woningen!H$25:J$264,3,FALSE))</f>
        <v/>
      </c>
      <c r="L30" s="1" t="str">
        <f t="shared" si="2"/>
        <v/>
      </c>
      <c r="M30" s="9"/>
      <c r="N30" s="20" t="str">
        <f>IF(ISBLANK(M30)=TRUE,"",VLOOKUP($M30,kengetallen_energielasten!$A$6:B$15,2))</f>
        <v/>
      </c>
      <c r="O30" s="20" t="str">
        <f>IF(ISBLANK(M30)=TRUE,"",VLOOKUP($M30,kengetallen_energielasten!$A$6:C$15,3))</f>
        <v/>
      </c>
      <c r="P30" s="20" t="str">
        <f>IF(ISBLANK(M30)=TRUE,"",IF(VLOOKUP($M30,kengetallen_energielasten!$A$6:D$15,4)="N/A",0,(VLOOKUP($M30,kengetallen_energielasten!$A$6:D$15,4))+(VLOOKUP(B30,'bijlage - huishoudelijk gebruik'!A$10:B$14,2))))</f>
        <v/>
      </c>
      <c r="Q30" s="20" t="str">
        <f>IF(ISBLANK(M30)=TRUE,"",VLOOKUP($M30,kengetallen_energielasten!$A$6:E$15,5))</f>
        <v/>
      </c>
      <c r="R30" s="32"/>
    </row>
    <row r="31" spans="1:18" hidden="1" outlineLevel="1" x14ac:dyDescent="0.3">
      <c r="A31" s="1" t="s">
        <v>328</v>
      </c>
      <c r="B31" s="8"/>
      <c r="C31" s="9"/>
      <c r="D31" s="9"/>
      <c r="E31" s="32"/>
      <c r="F31" s="32"/>
      <c r="G31" s="32"/>
      <c r="H31" s="32"/>
      <c r="I31" s="32"/>
      <c r="J31" s="20" t="str">
        <f>IF(ISBLANK(E31)=TRUE,"",VLOOKUP(_xlfn.CONCAT(B31," ",C31," ",D31),kengetallen_woningen!H$25:I$264,2,FALSE))</f>
        <v/>
      </c>
      <c r="K31" s="20" t="str">
        <f>IF(ISBLANK(E31)=TRUE,"",VLOOKUP(_xlfn.CONCAT(B31," ",C31," ",D31),kengetallen_woningen!H$25:J$264,3,FALSE))</f>
        <v/>
      </c>
      <c r="L31" s="1" t="str">
        <f t="shared" si="2"/>
        <v/>
      </c>
      <c r="M31" s="9"/>
      <c r="N31" s="20" t="str">
        <f>IF(ISBLANK(M31)=TRUE,"",VLOOKUP($M31,kengetallen_energielasten!$A$6:B$15,2))</f>
        <v/>
      </c>
      <c r="O31" s="20" t="str">
        <f>IF(ISBLANK(M31)=TRUE,"",VLOOKUP($M31,kengetallen_energielasten!$A$6:C$15,3))</f>
        <v/>
      </c>
      <c r="P31" s="20" t="str">
        <f>IF(ISBLANK(M31)=TRUE,"",IF(VLOOKUP($M31,kengetallen_energielasten!$A$6:D$15,4)="N/A",0,(VLOOKUP($M31,kengetallen_energielasten!$A$6:D$15,4))+(VLOOKUP(B31,'bijlage - huishoudelijk gebruik'!A$10:B$14,2))))</f>
        <v/>
      </c>
      <c r="Q31" s="20" t="str">
        <f>IF(ISBLANK(M31)=TRUE,"",VLOOKUP($M31,kengetallen_energielasten!$A$6:E$15,5))</f>
        <v/>
      </c>
      <c r="R31" s="32"/>
    </row>
    <row r="32" spans="1:18" hidden="1" outlineLevel="1" x14ac:dyDescent="0.3">
      <c r="A32" s="1" t="s">
        <v>329</v>
      </c>
      <c r="B32" s="8"/>
      <c r="C32" s="9"/>
      <c r="D32" s="9"/>
      <c r="E32" s="32"/>
      <c r="F32" s="32"/>
      <c r="G32" s="32"/>
      <c r="H32" s="32"/>
      <c r="I32" s="32"/>
      <c r="J32" s="20" t="str">
        <f>IF(ISBLANK(E32)=TRUE,"",VLOOKUP(_xlfn.CONCAT(B32," ",C32," ",D32),kengetallen_woningen!H$25:I$264,2,FALSE))</f>
        <v/>
      </c>
      <c r="K32" s="20" t="str">
        <f>IF(ISBLANK(E32)=TRUE,"",VLOOKUP(_xlfn.CONCAT(B32," ",C32," ",D32),kengetallen_woningen!H$25:J$264,3,FALSE))</f>
        <v/>
      </c>
      <c r="L32" s="1" t="str">
        <f t="shared" si="2"/>
        <v/>
      </c>
      <c r="M32" s="9"/>
      <c r="N32" s="20" t="str">
        <f>IF(ISBLANK(M32)=TRUE,"",VLOOKUP($M32,kengetallen_energielasten!$A$6:B$15,2))</f>
        <v/>
      </c>
      <c r="O32" s="20" t="str">
        <f>IF(ISBLANK(M32)=TRUE,"",VLOOKUP($M32,kengetallen_energielasten!$A$6:C$15,3))</f>
        <v/>
      </c>
      <c r="P32" s="20" t="str">
        <f>IF(ISBLANK(M32)=TRUE,"",IF(VLOOKUP($M32,kengetallen_energielasten!$A$6:D$15,4)="N/A",0,(VLOOKUP($M32,kengetallen_energielasten!$A$6:D$15,4))+(VLOOKUP(B32,'bijlage - huishoudelijk gebruik'!A$10:B$14,2))))</f>
        <v/>
      </c>
      <c r="Q32" s="20" t="str">
        <f>IF(ISBLANK(M32)=TRUE,"",VLOOKUP($M32,kengetallen_energielasten!$A$6:E$15,5))</f>
        <v/>
      </c>
      <c r="R32" s="32"/>
    </row>
    <row r="33" spans="1:18" hidden="1" outlineLevel="1" x14ac:dyDescent="0.3">
      <c r="A33" s="1" t="s">
        <v>330</v>
      </c>
      <c r="B33" s="8"/>
      <c r="C33" s="9"/>
      <c r="D33" s="9"/>
      <c r="E33" s="32"/>
      <c r="F33" s="32"/>
      <c r="G33" s="32"/>
      <c r="H33" s="32"/>
      <c r="I33" s="32"/>
      <c r="J33" s="20" t="str">
        <f>IF(ISBLANK(E33)=TRUE,"",VLOOKUP(_xlfn.CONCAT(B33," ",C33," ",D33),kengetallen_woningen!H$25:I$264,2,FALSE))</f>
        <v/>
      </c>
      <c r="K33" s="20" t="str">
        <f>IF(ISBLANK(E33)=TRUE,"",VLOOKUP(_xlfn.CONCAT(B33," ",C33," ",D33),kengetallen_woningen!H$25:J$264,3,FALSE))</f>
        <v/>
      </c>
      <c r="L33" s="1" t="str">
        <f t="shared" si="2"/>
        <v/>
      </c>
      <c r="M33" s="9"/>
      <c r="N33" s="20" t="str">
        <f>IF(ISBLANK(M33)=TRUE,"",VLOOKUP($M33,kengetallen_energielasten!$A$6:B$15,2))</f>
        <v/>
      </c>
      <c r="O33" s="20" t="str">
        <f>IF(ISBLANK(M33)=TRUE,"",VLOOKUP($M33,kengetallen_energielasten!$A$6:C$15,3))</f>
        <v/>
      </c>
      <c r="P33" s="20" t="str">
        <f>IF(ISBLANK(M33)=TRUE,"",IF(VLOOKUP($M33,kengetallen_energielasten!$A$6:D$15,4)="N/A",0,(VLOOKUP($M33,kengetallen_energielasten!$A$6:D$15,4))+(VLOOKUP(B33,'bijlage - huishoudelijk gebruik'!A$10:B$14,2))))</f>
        <v/>
      </c>
      <c r="Q33" s="20" t="str">
        <f>IF(ISBLANK(M33)=TRUE,"",VLOOKUP($M33,kengetallen_energielasten!$A$6:E$15,5))</f>
        <v/>
      </c>
      <c r="R33" s="32"/>
    </row>
    <row r="34" spans="1:18" hidden="1" outlineLevel="1" x14ac:dyDescent="0.3">
      <c r="A34" s="1" t="s">
        <v>331</v>
      </c>
      <c r="B34" s="8"/>
      <c r="C34" s="9"/>
      <c r="D34" s="9"/>
      <c r="E34" s="32"/>
      <c r="F34" s="32"/>
      <c r="G34" s="32"/>
      <c r="H34" s="32"/>
      <c r="I34" s="32"/>
      <c r="J34" s="20" t="str">
        <f>IF(ISBLANK(E34)=TRUE,"",VLOOKUP(_xlfn.CONCAT(B34," ",C34," ",D34),kengetallen_woningen!H$25:I$264,2,FALSE))</f>
        <v/>
      </c>
      <c r="K34" s="20" t="str">
        <f>IF(ISBLANK(E34)=TRUE,"",VLOOKUP(_xlfn.CONCAT(B34," ",C34," ",D34),kengetallen_woningen!H$25:J$264,3,FALSE))</f>
        <v/>
      </c>
      <c r="L34" s="1" t="str">
        <f t="shared" si="2"/>
        <v/>
      </c>
      <c r="M34" s="9"/>
      <c r="N34" s="20" t="str">
        <f>IF(ISBLANK(M34)=TRUE,"",VLOOKUP($M34,kengetallen_energielasten!$A$6:B$15,2))</f>
        <v/>
      </c>
      <c r="O34" s="20" t="str">
        <f>IF(ISBLANK(M34)=TRUE,"",VLOOKUP($M34,kengetallen_energielasten!$A$6:C$15,3))</f>
        <v/>
      </c>
      <c r="P34" s="20" t="str">
        <f>IF(ISBLANK(M34)=TRUE,"",IF(VLOOKUP($M34,kengetallen_energielasten!$A$6:D$15,4)="N/A",0,(VLOOKUP($M34,kengetallen_energielasten!$A$6:D$15,4))+(VLOOKUP(B34,'bijlage - huishoudelijk gebruik'!A$10:B$14,2))))</f>
        <v/>
      </c>
      <c r="Q34" s="20" t="str">
        <f>IF(ISBLANK(M34)=TRUE,"",VLOOKUP($M34,kengetallen_energielasten!$A$6:E$15,5))</f>
        <v/>
      </c>
      <c r="R34" s="32"/>
    </row>
    <row r="35" spans="1:18" hidden="1" outlineLevel="1" x14ac:dyDescent="0.3">
      <c r="A35" s="1" t="s">
        <v>332</v>
      </c>
      <c r="B35" s="8"/>
      <c r="C35" s="9"/>
      <c r="D35" s="9"/>
      <c r="E35" s="32"/>
      <c r="F35" s="32"/>
      <c r="G35" s="32"/>
      <c r="H35" s="32"/>
      <c r="I35" s="32"/>
      <c r="J35" s="20" t="str">
        <f>IF(ISBLANK(E35)=TRUE,"",VLOOKUP(_xlfn.CONCAT(B35," ",C35," ",D35),kengetallen_woningen!H$25:I$264,2,FALSE))</f>
        <v/>
      </c>
      <c r="K35" s="20" t="str">
        <f>IF(ISBLANK(E35)=TRUE,"",VLOOKUP(_xlfn.CONCAT(B35," ",C35," ",D35),kengetallen_woningen!H$25:J$264,3,FALSE))</f>
        <v/>
      </c>
      <c r="L35" s="1" t="str">
        <f t="shared" si="2"/>
        <v/>
      </c>
      <c r="M35" s="9"/>
      <c r="N35" s="20" t="str">
        <f>IF(ISBLANK(M35)=TRUE,"",VLOOKUP($M35,kengetallen_energielasten!$A$6:B$15,2))</f>
        <v/>
      </c>
      <c r="O35" s="20" t="str">
        <f>IF(ISBLANK(M35)=TRUE,"",VLOOKUP($M35,kengetallen_energielasten!$A$6:C$15,3))</f>
        <v/>
      </c>
      <c r="P35" s="20" t="str">
        <f>IF(ISBLANK(M35)=TRUE,"",IF(VLOOKUP($M35,kengetallen_energielasten!$A$6:D$15,4)="N/A",0,(VLOOKUP($M35,kengetallen_energielasten!$A$6:D$15,4))+(VLOOKUP(B35,'bijlage - huishoudelijk gebruik'!A$10:B$14,2))))</f>
        <v/>
      </c>
      <c r="Q35" s="20" t="str">
        <f>IF(ISBLANK(M35)=TRUE,"",VLOOKUP($M35,kengetallen_energielasten!$A$6:E$15,5))</f>
        <v/>
      </c>
      <c r="R35" s="32"/>
    </row>
    <row r="36" spans="1:18" hidden="1" outlineLevel="1" x14ac:dyDescent="0.3">
      <c r="A36" s="1" t="s">
        <v>333</v>
      </c>
      <c r="B36" s="8"/>
      <c r="C36" s="9"/>
      <c r="D36" s="9"/>
      <c r="E36" s="32"/>
      <c r="F36" s="32"/>
      <c r="G36" s="32"/>
      <c r="H36" s="32"/>
      <c r="I36" s="32"/>
      <c r="J36" s="20" t="str">
        <f>IF(ISBLANK(E36)=TRUE,"",VLOOKUP(_xlfn.CONCAT(B36," ",C36," ",D36),kengetallen_woningen!H$25:I$264,2,FALSE))</f>
        <v/>
      </c>
      <c r="K36" s="20" t="str">
        <f>IF(ISBLANK(E36)=TRUE,"",VLOOKUP(_xlfn.CONCAT(B36," ",C36," ",D36),kengetallen_woningen!H$25:J$264,3,FALSE))</f>
        <v/>
      </c>
      <c r="L36" s="1" t="str">
        <f t="shared" si="2"/>
        <v/>
      </c>
      <c r="M36" s="9"/>
      <c r="N36" s="20" t="str">
        <f>IF(ISBLANK(M36)=TRUE,"",VLOOKUP($M36,kengetallen_energielasten!$A$6:B$15,2))</f>
        <v/>
      </c>
      <c r="O36" s="20" t="str">
        <f>IF(ISBLANK(M36)=TRUE,"",VLOOKUP($M36,kengetallen_energielasten!$A$6:C$15,3))</f>
        <v/>
      </c>
      <c r="P36" s="20" t="str">
        <f>IF(ISBLANK(M36)=TRUE,"",IF(VLOOKUP($M36,kengetallen_energielasten!$A$6:D$15,4)="N/A",0,(VLOOKUP($M36,kengetallen_energielasten!$A$6:D$15,4))+(VLOOKUP(B36,'bijlage - huishoudelijk gebruik'!A$10:B$14,2))))</f>
        <v/>
      </c>
      <c r="Q36" s="20" t="str">
        <f>IF(ISBLANK(M36)=TRUE,"",VLOOKUP($M36,kengetallen_energielasten!$A$6:E$15,5))</f>
        <v/>
      </c>
      <c r="R36" s="32"/>
    </row>
    <row r="37" spans="1:18" hidden="1" outlineLevel="1" x14ac:dyDescent="0.3">
      <c r="A37" s="1" t="s">
        <v>334</v>
      </c>
      <c r="B37" s="8"/>
      <c r="C37" s="9"/>
      <c r="D37" s="9"/>
      <c r="E37" s="32"/>
      <c r="F37" s="32"/>
      <c r="G37" s="32"/>
      <c r="H37" s="32"/>
      <c r="I37" s="32"/>
      <c r="J37" s="20" t="str">
        <f>IF(ISBLANK(E37)=TRUE,"",VLOOKUP(_xlfn.CONCAT(B37," ",C37," ",D37),kengetallen_woningen!H$25:I$264,2,FALSE))</f>
        <v/>
      </c>
      <c r="K37" s="20" t="str">
        <f>IF(ISBLANK(E37)=TRUE,"",VLOOKUP(_xlfn.CONCAT(B37," ",C37," ",D37),kengetallen_woningen!H$25:J$264,3,FALSE))</f>
        <v/>
      </c>
      <c r="L37" s="1" t="str">
        <f t="shared" si="2"/>
        <v/>
      </c>
      <c r="M37" s="9"/>
      <c r="N37" s="20" t="str">
        <f>IF(ISBLANK(M37)=TRUE,"",VLOOKUP($M37,kengetallen_energielasten!$A$6:B$15,2))</f>
        <v/>
      </c>
      <c r="O37" s="20" t="str">
        <f>IF(ISBLANK(M37)=TRUE,"",VLOOKUP($M37,kengetallen_energielasten!$A$6:C$15,3))</f>
        <v/>
      </c>
      <c r="P37" s="20" t="str">
        <f>IF(ISBLANK(M37)=TRUE,"",IF(VLOOKUP($M37,kengetallen_energielasten!$A$6:D$15,4)="N/A",0,(VLOOKUP($M37,kengetallen_energielasten!$A$6:D$15,4))+(VLOOKUP(B37,'bijlage - huishoudelijk gebruik'!A$10:B$14,2))))</f>
        <v/>
      </c>
      <c r="Q37" s="20" t="str">
        <f>IF(ISBLANK(M37)=TRUE,"",VLOOKUP($M37,kengetallen_energielasten!$A$6:E$15,5))</f>
        <v/>
      </c>
      <c r="R37" s="32"/>
    </row>
    <row r="38" spans="1:18" s="11" customFormat="1" collapsed="1" x14ac:dyDescent="0.3">
      <c r="A38" s="27"/>
      <c r="B38" s="11" t="s">
        <v>249</v>
      </c>
      <c r="C38" s="11" t="s">
        <v>249</v>
      </c>
      <c r="D38" s="11" t="s">
        <v>249</v>
      </c>
      <c r="E38" s="5"/>
      <c r="F38" s="5"/>
      <c r="G38" s="5"/>
      <c r="H38" s="5"/>
      <c r="I38" s="5"/>
      <c r="J38" s="27" t="s">
        <v>250</v>
      </c>
      <c r="K38" s="27" t="s">
        <v>250</v>
      </c>
      <c r="L38" s="27" t="s">
        <v>250</v>
      </c>
      <c r="M38" s="27"/>
      <c r="N38" s="27"/>
      <c r="O38" s="27"/>
      <c r="P38" s="27"/>
      <c r="Q38" s="27"/>
      <c r="R38" s="27"/>
    </row>
  </sheetData>
  <sheetProtection algorithmName="SHA-512" hashValue="4TcqyR8keLLmn/lrT6PBPj7WTjy3MMHnxBr5mM16UJ2CLIocYByMuBhqh6TULqqW3T+XifzwTUB4Orc4oaj7nA==" saltValue="JIpRcsFUujYYttuSZCVxug==" spinCount="100000" sheet="1" objects="1" scenarios="1"/>
  <protectedRanges>
    <protectedRange sqref="R4:R37" name="Range3"/>
    <protectedRange sqref="B4:I37" name="editable1"/>
    <protectedRange sqref="M4:M37" name="editable2"/>
  </protectedRange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BC73E742-3876-4899-838D-55AD5CCAE88E}">
          <x14:formula1>
            <xm:f>kengetallen_woningen!$B$10:$B$17</xm:f>
          </x14:formula1>
          <xm:sqref>C4:C37</xm:sqref>
        </x14:dataValidation>
        <x14:dataValidation type="list" allowBlank="1" showInputMessage="1" showErrorMessage="1" xr:uid="{4A75836F-0745-4454-B812-E4B3F48198E0}">
          <x14:formula1>
            <xm:f>kengetallen_woningen!$A$10:$A$14</xm:f>
          </x14:formula1>
          <xm:sqref>B4:C37</xm:sqref>
        </x14:dataValidation>
        <x14:dataValidation type="list" allowBlank="1" showInputMessage="1" showErrorMessage="1" xr:uid="{EF02E0F9-FEE6-47BC-9D0B-AB2957CF6EF0}">
          <x14:formula1>
            <xm:f>kengetallen_woningen!$C$10:$C$15</xm:f>
          </x14:formula1>
          <xm:sqref>D4:D37</xm:sqref>
        </x14:dataValidation>
        <x14:dataValidation type="list" allowBlank="1" showInputMessage="1" showErrorMessage="1" xr:uid="{2A21E4D6-4A01-4A95-83AE-9A7CF56226DA}">
          <x14:formula1>
            <xm:f>kengetallen_woningen!$E$10:$E$14</xm:f>
          </x14:formula1>
          <xm:sqref>H4:H37</xm:sqref>
        </x14:dataValidation>
        <x14:dataValidation type="list" allowBlank="1" showInputMessage="1" showErrorMessage="1" xr:uid="{18B32BDD-1BA7-4CA6-A4CC-C884C3E8008B}">
          <x14:formula1>
            <xm:f>kengetallen_woningen!$F$10:$F$12</xm:f>
          </x14:formula1>
          <xm:sqref>I4:I37</xm:sqref>
        </x14:dataValidation>
        <x14:dataValidation type="list" allowBlank="1" showInputMessage="1" showErrorMessage="1" xr:uid="{A0FCFEA4-236A-4FE1-8D81-374D450C2FC9}">
          <x14:formula1>
            <xm:f>kengetallen_woningen!$H$10:$H$20</xm:f>
          </x14:formula1>
          <xm:sqref>M4:M37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C0C86-F12D-4E0F-9F53-9600DD7CA207}">
  <dimension ref="A1:AA65"/>
  <sheetViews>
    <sheetView topLeftCell="A3" workbookViewId="0">
      <selection activeCell="D52" sqref="D52"/>
    </sheetView>
  </sheetViews>
  <sheetFormatPr defaultColWidth="8.8984375" defaultRowHeight="13" outlineLevelRow="1" x14ac:dyDescent="0.3"/>
  <cols>
    <col min="1" max="1" width="17.69921875" style="1" customWidth="1"/>
    <col min="2" max="4" width="16.8984375" style="2" customWidth="1"/>
    <col min="5" max="5" width="15.69921875" style="2" customWidth="1"/>
    <col min="6" max="6" width="17.59765625" style="2" customWidth="1"/>
    <col min="7" max="9" width="15.69921875" style="2" customWidth="1"/>
    <col min="10" max="10" width="14" style="2" customWidth="1"/>
    <col min="11" max="11" width="15.69921875" style="2" customWidth="1"/>
    <col min="12" max="12" width="16" style="2" customWidth="1"/>
    <col min="13" max="14" width="14.8984375" style="2" customWidth="1"/>
    <col min="15" max="15" width="14" style="2" customWidth="1"/>
    <col min="16" max="16" width="12.8984375" style="2" customWidth="1"/>
    <col min="17" max="17" width="13.09765625" style="2" customWidth="1"/>
    <col min="18" max="18" width="3.8984375" style="2" customWidth="1"/>
    <col min="19" max="19" width="19.8984375" style="1" customWidth="1"/>
    <col min="20" max="20" width="21.296875" style="2" hidden="1" customWidth="1"/>
    <col min="21" max="21" width="2.69921875" style="2" customWidth="1"/>
    <col min="22" max="25" width="13.09765625" style="12" customWidth="1"/>
    <col min="26" max="26" width="19.3984375" style="2" hidden="1" customWidth="1"/>
    <col min="27" max="27" width="15.09765625" style="2" hidden="1" customWidth="1"/>
    <col min="28" max="16384" width="8.8984375" style="2"/>
  </cols>
  <sheetData>
    <row r="1" spans="1:27" s="4" customFormat="1" ht="21" x14ac:dyDescent="0.5">
      <c r="A1" s="136" t="s">
        <v>400</v>
      </c>
      <c r="B1" s="119" t="s">
        <v>0</v>
      </c>
      <c r="C1" s="137"/>
      <c r="D1" s="137"/>
      <c r="E1" s="69" t="s">
        <v>283</v>
      </c>
      <c r="F1" s="138"/>
      <c r="G1" s="138"/>
      <c r="H1" s="138"/>
      <c r="I1" s="138"/>
      <c r="J1" s="139" t="s">
        <v>37</v>
      </c>
      <c r="K1" s="139"/>
      <c r="L1" s="139"/>
      <c r="M1" s="139"/>
      <c r="N1" s="139"/>
      <c r="O1" s="139"/>
      <c r="P1" s="140" t="s">
        <v>38</v>
      </c>
      <c r="Q1" s="140"/>
      <c r="S1" s="141" t="s">
        <v>1</v>
      </c>
      <c r="T1" s="120"/>
      <c r="V1" s="107" t="s">
        <v>367</v>
      </c>
      <c r="W1" s="142"/>
      <c r="X1" s="142"/>
      <c r="Y1" s="142"/>
    </row>
    <row r="2" spans="1:27" s="13" customFormat="1" ht="52" x14ac:dyDescent="0.3">
      <c r="A2" s="31" t="str">
        <f>invoer_woningen!A2</f>
        <v>Segment</v>
      </c>
      <c r="B2" s="16" t="s">
        <v>315</v>
      </c>
      <c r="C2" s="16" t="s">
        <v>315</v>
      </c>
      <c r="D2" s="16" t="s">
        <v>83</v>
      </c>
      <c r="E2" s="16" t="s">
        <v>315</v>
      </c>
      <c r="F2" s="16" t="s">
        <v>315</v>
      </c>
      <c r="G2" s="16" t="s">
        <v>83</v>
      </c>
      <c r="H2" s="16" t="s">
        <v>198</v>
      </c>
      <c r="I2" s="16" t="s">
        <v>198</v>
      </c>
      <c r="J2" s="16" t="s">
        <v>214</v>
      </c>
      <c r="K2" s="16" t="s">
        <v>214</v>
      </c>
      <c r="L2" s="16" t="s">
        <v>213</v>
      </c>
      <c r="M2" s="16" t="s">
        <v>378</v>
      </c>
      <c r="N2" s="16" t="s">
        <v>378</v>
      </c>
      <c r="O2" s="16" t="s">
        <v>261</v>
      </c>
      <c r="P2" s="16" t="s">
        <v>39</v>
      </c>
      <c r="Q2" s="16" t="s">
        <v>76</v>
      </c>
      <c r="S2" s="31" t="s">
        <v>40</v>
      </c>
      <c r="T2" s="31" t="s">
        <v>305</v>
      </c>
      <c r="V2" s="31" t="s">
        <v>368</v>
      </c>
      <c r="W2" s="31" t="s">
        <v>369</v>
      </c>
      <c r="X2" s="31" t="s">
        <v>370</v>
      </c>
      <c r="Y2" s="31" t="s">
        <v>370</v>
      </c>
      <c r="Z2" s="16" t="s">
        <v>284</v>
      </c>
      <c r="AA2" s="16" t="s">
        <v>285</v>
      </c>
    </row>
    <row r="3" spans="1:27" ht="65" x14ac:dyDescent="0.3">
      <c r="B3" s="6" t="s">
        <v>41</v>
      </c>
      <c r="C3" s="6" t="s">
        <v>75</v>
      </c>
      <c r="D3" s="6" t="s">
        <v>84</v>
      </c>
      <c r="E3" s="6" t="s">
        <v>41</v>
      </c>
      <c r="F3" s="6" t="s">
        <v>75</v>
      </c>
      <c r="G3" s="6" t="s">
        <v>84</v>
      </c>
      <c r="H3" s="6" t="s">
        <v>199</v>
      </c>
      <c r="I3" s="6" t="s">
        <v>200</v>
      </c>
      <c r="J3" s="6" t="s">
        <v>42</v>
      </c>
      <c r="K3" s="6" t="s">
        <v>84</v>
      </c>
      <c r="L3" s="6" t="s">
        <v>75</v>
      </c>
      <c r="M3" s="6" t="s">
        <v>201</v>
      </c>
      <c r="N3" s="6" t="s">
        <v>255</v>
      </c>
      <c r="O3" s="6" t="s">
        <v>42</v>
      </c>
      <c r="S3" s="12" t="s">
        <v>377</v>
      </c>
      <c r="T3" s="12" t="s">
        <v>77</v>
      </c>
      <c r="V3" s="12" t="s">
        <v>373</v>
      </c>
      <c r="W3" s="12" t="s">
        <v>373</v>
      </c>
      <c r="X3" s="12" t="s">
        <v>373</v>
      </c>
      <c r="Y3" s="12" t="s">
        <v>346</v>
      </c>
    </row>
    <row r="4" spans="1:27" x14ac:dyDescent="0.3">
      <c r="A4" s="1" t="str">
        <f>invoer_woningen!A4</f>
        <v>A</v>
      </c>
      <c r="B4" s="22">
        <f>IF(ISBLANK(invoer_woningen!E4)=TRUE,"",((invoer_woningen!J4*kengetallen_woningen!$C$3)+((invoer_woningen!K4-invoer_woningen!L4)*kengetallen_woningen!$C$4))/1000)</f>
        <v>2.35037246</v>
      </c>
      <c r="C4" s="36">
        <f>IF(ISBLANK(invoer_woningen!E4)=TRUE,"",B4*30*invoer_woningen!$E4)</f>
        <v>14102.234759999999</v>
      </c>
      <c r="D4" s="36">
        <f>IF(Z4&lt;1,"",30*((invoer_woningen!J4*kengetallen_woningen!$I$3)+((invoer_woningen!K4-invoer_woningen!L4)*kengetallen_woningen!$I$4)+invoer_woningen!O4)*invoer_woningen!$E4)</f>
        <v>261922.79999999996</v>
      </c>
      <c r="E4" s="23">
        <f>IF(ISBLANK(invoer_woningen!E4)=TRUE,"",((invoer_woningen!N4*kengetallen_woningen!$C$3)+((invoer_woningen!P4-invoer_woningen!Q4)*kengetallen_woningen!$C$4)+(invoer_woningen!O4*kengetallen_woningen!$C$5))/1000)</f>
        <v>0.45900000000000007</v>
      </c>
      <c r="F4" s="35">
        <f>IF(ISBLANK(invoer_woningen!E4)=TRUE,"",E4*30*invoer_woningen!$E4)</f>
        <v>2754.0000000000005</v>
      </c>
      <c r="G4" s="35">
        <f>IF(Z4&lt;1,"",30*((invoer_woningen!N4*kengetallen_woningen!$I$3)+((invoer_woningen!P4-invoer_woningen!Q4)*kengetallen_woningen!$I$4)+invoer_woningen!O4)*invoer_woningen!$E4)</f>
        <v>42282</v>
      </c>
      <c r="H4" s="23">
        <f>IF(ISBLANK(invoer_woningen!E4)=TRUE,"",(SUMIF(invoer_aanpakken!A$3:A$508,invoer_woningen!M4, invoer_aanpakken!G$3:G$508))/1000)</f>
        <v>12.0730557743912</v>
      </c>
      <c r="I4" s="23">
        <f>IF(ISBLANK(invoer_woningen!E4)=TRUE,"",(SUMIF(invoer_aanpakken!A$3:A$508,invoer_woningen!M4, invoer_aanpakken!F$3:F$508))/1000)</f>
        <v>9.9544124092632948</v>
      </c>
      <c r="J4" s="19">
        <f>IF(Z4&lt;1,"",K4/D4)</f>
        <v>0.8385707544360399</v>
      </c>
      <c r="K4" s="30">
        <f t="shared" ref="K4" si="0">IF(Z4&lt;1,"",(D4-G4))</f>
        <v>219640.79999999996</v>
      </c>
      <c r="L4" s="30">
        <f>IF(ISBLANK(invoer_woningen!E4)=TRUE,"",C4-F4)</f>
        <v>11348.234759999999</v>
      </c>
      <c r="M4" s="70">
        <f>IF(ISBLANK(invoer_woningen!E4)=TRUE,"",(H4-I4))</f>
        <v>2.1186433651279053</v>
      </c>
      <c r="N4" s="30">
        <f>IF(ISBLANK(invoer_woningen!E4)=TRUE,"",M4*invoer_woningen!$E4)</f>
        <v>423.72867302558109</v>
      </c>
      <c r="O4" s="19">
        <f>IF(ISBLANK(invoer_woningen!E4)=TRUE,"",(C4+(H4*invoer_woningen!E4)-F4-(I4*invoer_woningen!E4))/(C4+(H4*invoer_woningen!E4)))</f>
        <v>0.71272466266828172</v>
      </c>
      <c r="P4" s="18">
        <f>IF(ISBLANK(invoer_woningen!E4)=TRUE,"",IF(O4&lt;0.5,0,MIN(15000,((L4/invoer_woningen!E4)+M4)*120)))</f>
        <v>7063.1780598153491</v>
      </c>
      <c r="Q4" s="18">
        <f>IF(ISBLANK(invoer_woningen!E4)=TRUE,"",P4*invoer_woningen!E4)</f>
        <v>1412635.6119630698</v>
      </c>
      <c r="S4" s="38">
        <f>IF(Z4&lt;1,"",invoer_woningen!R4)</f>
        <v>350</v>
      </c>
      <c r="T4" s="38">
        <f>IF(ISBLANK(invoer_woningen!E4)=TRUE,"",(K4/1000)*((VLOOKUP(_xlfn.CONCAT(invoer_woningen!B4," ",invoer_woningen!C4," ",invoer_woningen!D4),kengetallen_woningen!H$25:K$264,4,FALSE))-invoer_woningen!E4))</f>
        <v>1603377.8399999996</v>
      </c>
      <c r="V4" s="123">
        <f>IF(ISERR(kengetallen_energielasten!G22)=TRUE,"",kengetallen_energielasten!G22)</f>
        <v>1845.81</v>
      </c>
      <c r="W4" s="123">
        <f>IF(ISBLANK(invoer_woningen!E4)=TRUE,"",IF(ISERR(kengetallen_energielasten!I61)=TRUE,"nnb",kengetallen_energielasten!I61))</f>
        <v>690.11</v>
      </c>
      <c r="X4" s="123">
        <f>IF(ISBLANK(invoer_woningen!E4)=TRUE,"",IF(W4=0,"nnb",W4-V4))</f>
        <v>-1155.6999999999998</v>
      </c>
      <c r="Y4" s="121">
        <f>IF(ISBLANK(invoer_woningen!E4)=TRUE,"",IF(X4="nnb","nnb",(W4-V4)/V4))</f>
        <v>-0.62612078166225116</v>
      </c>
      <c r="Z4" s="2">
        <f>IF(O4&gt;=0.5,invoer_woningen!E4,0)</f>
        <v>200</v>
      </c>
      <c r="AA4" s="2">
        <f>IF(O4&gt;=0.5,invoer_woningen!F4,0)</f>
        <v>0</v>
      </c>
    </row>
    <row r="5" spans="1:27" x14ac:dyDescent="0.3">
      <c r="A5" s="1" t="str">
        <f>invoer_woningen!A5</f>
        <v>B</v>
      </c>
      <c r="B5" s="22">
        <f>IF(ISBLANK(invoer_woningen!E5)=TRUE,"",((invoer_woningen!J5*kengetallen_woningen!$C$3)+((invoer_woningen!K5-invoer_woningen!L5)*kengetallen_woningen!$C$4))/1000)</f>
        <v>2.1775224900000003</v>
      </c>
      <c r="C5" s="36">
        <f>IF(ISBLANK(invoer_woningen!E5)=TRUE,"",B5*30*invoer_woningen!$E5)</f>
        <v>13065.134940000002</v>
      </c>
      <c r="D5" s="36">
        <f>IF(Z5&lt;1,"",30*((invoer_woningen!J5*kengetallen_woningen!$I$3)+((invoer_woningen!K5-invoer_woningen!L5)*kengetallen_woningen!$I$4)+invoer_woningen!O5)*invoer_woningen!$E5)</f>
        <v>240903.00000000003</v>
      </c>
      <c r="E5" s="23">
        <f>IF(ISBLANK(invoer_woningen!E5)=TRUE,"",((invoer_woningen!N5*kengetallen_woningen!$C$3)+((invoer_woningen!P5-invoer_woningen!Q5)*kengetallen_woningen!$C$4)+(invoer_woningen!O5*kengetallen_woningen!$C$5))/1000)</f>
        <v>0.45900000000000007</v>
      </c>
      <c r="F5" s="35">
        <f>IF(ISBLANK(invoer_woningen!E5)=TRUE,"",E5*30*invoer_woningen!$E5)</f>
        <v>2754.0000000000005</v>
      </c>
      <c r="G5" s="35">
        <f>IF(Z5&lt;1,"",30*((invoer_woningen!N5*kengetallen_woningen!$I$3)+((invoer_woningen!P5-invoer_woningen!Q5)*kengetallen_woningen!$I$4)+invoer_woningen!O5)*invoer_woningen!$E5)</f>
        <v>42282</v>
      </c>
      <c r="H5" s="23">
        <f>IF(ISBLANK(invoer_woningen!E5)=TRUE,"",(SUMIF(invoer_aanpakken!A$3:A$508,invoer_woningen!M5, invoer_aanpakken!G$3:G$508))/1000)</f>
        <v>12.0730557743912</v>
      </c>
      <c r="I5" s="23">
        <f>IF(ISBLANK(invoer_woningen!E5)=TRUE,"",(SUMIF(invoer_aanpakken!A$3:A$508,invoer_woningen!M5, invoer_aanpakken!F$3:F$508))/1000)</f>
        <v>9.9544124092632948</v>
      </c>
      <c r="J5" s="19">
        <f t="shared" ref="J5:J37" si="1">IF(Z5&lt;1,"",K5/D5)</f>
        <v>0.8244853737811485</v>
      </c>
      <c r="K5" s="30">
        <f t="shared" ref="K5:K37" si="2">IF(Z5&lt;1,"",(D5-G5))</f>
        <v>198621.00000000003</v>
      </c>
      <c r="L5" s="30">
        <f>IF(ISBLANK(invoer_woningen!E5)=TRUE,"",C5-F5)</f>
        <v>10311.134940000002</v>
      </c>
      <c r="M5" s="70">
        <f>IF(ISBLANK(invoer_woningen!E5)=TRUE,"",(H5-I5))</f>
        <v>2.1186433651279053</v>
      </c>
      <c r="N5" s="30">
        <f>IF(ISBLANK(invoer_woningen!E5)=TRUE,"",M5*invoer_woningen!$E5)</f>
        <v>423.72867302558109</v>
      </c>
      <c r="O5" s="19">
        <f>IF(ISBLANK(invoer_woningen!E5)=TRUE,"",(C5+(H5*invoer_woningen!E5)-F5-(I5*invoer_woningen!E5))/(C5+(H5*invoer_woningen!E5)))</f>
        <v>0.693478016191584</v>
      </c>
      <c r="P5" s="18">
        <f>IF(ISBLANK(invoer_woningen!E5)=TRUE,"",IF(O5&lt;0.5,0,MIN(15000,((L5/invoer_woningen!E5)+M5)*120)))</f>
        <v>6440.9181678153509</v>
      </c>
      <c r="Q5" s="18">
        <f>IF(ISBLANK(invoer_woningen!E5)=TRUE,"",P5*invoer_woningen!E5)</f>
        <v>1288183.6335630701</v>
      </c>
      <c r="S5" s="38">
        <f>IF(Z5&lt;1,"",invoer_woningen!R5)</f>
        <v>350</v>
      </c>
      <c r="T5" s="38">
        <f>IF(ISBLANK(invoer_woningen!E5)=TRUE,"",(K5/1000)*((VLOOKUP(_xlfn.CONCAT(invoer_woningen!B5," ",invoer_woningen!C5," ",invoer_woningen!D5),kengetallen_woningen!H$25:K$264,4,FALSE))-invoer_woningen!E5))</f>
        <v>3436143.3000000007</v>
      </c>
      <c r="V5" s="123">
        <f>IF(ISERR(kengetallen_energielasten!G23)=TRUE,"",kengetallen_energielasten!G23)</f>
        <v>1733.0100000000002</v>
      </c>
      <c r="W5" s="123">
        <f>IF(ISBLANK(invoer_woningen!E5)=TRUE,"",IF(ISERR(kengetallen_energielasten!I62)=TRUE,"nnb",kengetallen_energielasten!I62))</f>
        <v>690.11</v>
      </c>
      <c r="X5" s="123">
        <f>IF(ISBLANK(invoer_woningen!E5)=TRUE,"",IF(W5=0,"nnb",W5-V5))</f>
        <v>-1042.9000000000001</v>
      </c>
      <c r="Y5" s="121">
        <f>IF(ISBLANK(invoer_woningen!E5)=TRUE,"",IF(X5="nnb","nnb",(W5-V5)/V5))</f>
        <v>-0.6017853330332773</v>
      </c>
      <c r="Z5" s="2">
        <f>IF(O5&gt;=0.5,invoer_woningen!E5,0)</f>
        <v>200</v>
      </c>
      <c r="AA5" s="2">
        <f>IF(O5&gt;=0.5,invoer_woningen!F5,0)</f>
        <v>0</v>
      </c>
    </row>
    <row r="6" spans="1:27" x14ac:dyDescent="0.3">
      <c r="A6" s="1" t="str">
        <f>invoer_woningen!A6</f>
        <v>C</v>
      </c>
      <c r="B6" s="22">
        <f>IF(ISBLANK(invoer_woningen!E6)=TRUE,"",((invoer_woningen!J6*kengetallen_woningen!$C$3)+((invoer_woningen!K6-invoer_woningen!L6)*kengetallen_woningen!$C$4))/1000)</f>
        <v>2.53561792</v>
      </c>
      <c r="C6" s="36">
        <f>IF(ISBLANK(invoer_woningen!E6)=TRUE,"",B6*30*invoer_woningen!$E6)</f>
        <v>15213.70752</v>
      </c>
      <c r="D6" s="36">
        <f>IF(Z6&lt;1,"",30*((invoer_woningen!J6*kengetallen_woningen!$I$3)+((invoer_woningen!K6-invoer_woningen!L6)*kengetallen_woningen!$I$4)+invoer_woningen!O6)*invoer_woningen!$E6)</f>
        <v>278060.39999999997</v>
      </c>
      <c r="E6" s="23">
        <f>IF(ISBLANK(invoer_woningen!E6)=TRUE,"",((invoer_woningen!N6*kengetallen_woningen!$C$3)+((invoer_woningen!P6-invoer_woningen!Q6)*kengetallen_woningen!$C$4)+(invoer_woningen!O6*kengetallen_woningen!$C$5))/1000)</f>
        <v>0.45900000000000007</v>
      </c>
      <c r="F6" s="35">
        <f>IF(ISBLANK(invoer_woningen!E6)=TRUE,"",E6*30*invoer_woningen!$E6)</f>
        <v>2754.0000000000005</v>
      </c>
      <c r="G6" s="35">
        <f>IF(Z6&lt;1,"",30*((invoer_woningen!N6*kengetallen_woningen!$I$3)+((invoer_woningen!P6-invoer_woningen!Q6)*kengetallen_woningen!$I$4)+invoer_woningen!O6)*invoer_woningen!$E6)</f>
        <v>42282</v>
      </c>
      <c r="H6" s="23">
        <f>IF(ISBLANK(invoer_woningen!E6)=TRUE,"",(SUMIF(invoer_aanpakken!A$3:A$508,invoer_woningen!M6, invoer_aanpakken!G$3:G$508))/1000)</f>
        <v>12.0730557743912</v>
      </c>
      <c r="I6" s="23">
        <f>IF(ISBLANK(invoer_woningen!E6)=TRUE,"",(SUMIF(invoer_aanpakken!A$3:A$508,invoer_woningen!M6, invoer_aanpakken!F$3:F$508))/1000)</f>
        <v>9.9544124092632948</v>
      </c>
      <c r="J6" s="19">
        <f t="shared" si="1"/>
        <v>0.84793951242248089</v>
      </c>
      <c r="K6" s="30">
        <f t="shared" si="2"/>
        <v>235778.39999999997</v>
      </c>
      <c r="L6" s="30">
        <f>IF(ISBLANK(invoer_woningen!E6)=TRUE,"",C6-F6)</f>
        <v>12459.70752</v>
      </c>
      <c r="M6" s="70">
        <f>IF(ISBLANK(invoer_woningen!E6)=TRUE,"",(H6-I6))</f>
        <v>2.1186433651279053</v>
      </c>
      <c r="N6" s="30">
        <f>IF(ISBLANK(invoer_woningen!E6)=TRUE,"",M6*invoer_woningen!$E6)</f>
        <v>423.72867302558109</v>
      </c>
      <c r="O6" s="19">
        <f>IF(ISBLANK(invoer_woningen!E6)=TRUE,"",(C6+(H6*invoer_woningen!E6)-F6-(I6*invoer_woningen!E6))/(C6+(H6*invoer_woningen!E6)))</f>
        <v>0.73083749112077856</v>
      </c>
      <c r="P6" s="18">
        <f>IF(ISBLANK(invoer_woningen!E6)=TRUE,"",IF(O6&lt;0.5,0,MIN(15000,((L6/invoer_woningen!E6)+M6)*120)))</f>
        <v>7730.0617158153491</v>
      </c>
      <c r="Q6" s="18">
        <f>IF(ISBLANK(invoer_woningen!E6)=TRUE,"",P6*invoer_woningen!E6)</f>
        <v>1546012.3431630698</v>
      </c>
      <c r="S6" s="38">
        <f>IF(Z6&lt;1,"",invoer_woningen!R6)</f>
        <v>350</v>
      </c>
      <c r="T6" s="38">
        <f>IF(ISBLANK(invoer_woningen!E6)=TRUE,"",(K6/1000)*((VLOOKUP(_xlfn.CONCAT(invoer_woningen!B6," ",invoer_woningen!C6," ",invoer_woningen!D6),kengetallen_woningen!H$25:K$264,4,FALSE))-invoer_woningen!E6))</f>
        <v>41214064.319999993</v>
      </c>
      <c r="V6" s="123">
        <f>IF(ISERR(kengetallen_energielasten!G24)=TRUE,"",kengetallen_energielasten!G24)</f>
        <v>2010.1100000000001</v>
      </c>
      <c r="W6" s="123">
        <f>IF(ISBLANK(invoer_woningen!E6)=TRUE,"",IF(ISERR(kengetallen_energielasten!I63)=TRUE,"nnb",kengetallen_energielasten!I63))</f>
        <v>690.11</v>
      </c>
      <c r="X6" s="123">
        <f>IF(ISBLANK(invoer_woningen!E6)=TRUE,"",IF(W6=0,"nnb",W6-V6))</f>
        <v>-1320</v>
      </c>
      <c r="Y6" s="121">
        <f>IF(ISBLANK(invoer_woningen!E6)=TRUE,"",IF(X6="nnb","nnb",(W6-V6)/V6))</f>
        <v>-0.65668048017272684</v>
      </c>
      <c r="Z6" s="2">
        <f>IF(O6&gt;=0.5,invoer_woningen!E6,0)</f>
        <v>200</v>
      </c>
      <c r="AA6" s="2">
        <f>IF(O6&gt;=0.5,invoer_woningen!F6,0)</f>
        <v>0</v>
      </c>
    </row>
    <row r="7" spans="1:27" x14ac:dyDescent="0.3">
      <c r="A7" s="1" t="str">
        <f>invoer_woningen!A7</f>
        <v>D</v>
      </c>
      <c r="B7" s="22" t="str">
        <f>IF(ISBLANK(invoer_woningen!E7)=TRUE,"",((invoer_woningen!J7*kengetallen_woningen!$C$3)+((invoer_woningen!K7-invoer_woningen!L7)*kengetallen_woningen!$C$4))/1000)</f>
        <v/>
      </c>
      <c r="C7" s="36" t="str">
        <f>IF(ISBLANK(invoer_woningen!E7)=TRUE,"",B7*30*invoer_woningen!$E7)</f>
        <v/>
      </c>
      <c r="D7" s="36" t="str">
        <f>IF(Z7&lt;1,"",30*((invoer_woningen!J7*kengetallen_woningen!$I$3)+((invoer_woningen!K7-invoer_woningen!L7)*kengetallen_woningen!$I$4)+invoer_woningen!O7)*invoer_woningen!$E7)</f>
        <v/>
      </c>
      <c r="E7" s="23" t="str">
        <f>IF(ISBLANK(invoer_woningen!E7)=TRUE,"",((invoer_woningen!N7*kengetallen_woningen!$C$3)+((invoer_woningen!P7-invoer_woningen!Q7)*kengetallen_woningen!$C$4)+(invoer_woningen!O7*kengetallen_woningen!$C$5))/1000)</f>
        <v/>
      </c>
      <c r="F7" s="35" t="str">
        <f>IF(ISBLANK(invoer_woningen!E7)=TRUE,"",E7*30*invoer_woningen!$E7)</f>
        <v/>
      </c>
      <c r="G7" s="35" t="str">
        <f>IF(Z7&lt;1,"",30*((invoer_woningen!N7*kengetallen_woningen!$I$3)+((invoer_woningen!P7-invoer_woningen!Q7)*kengetallen_woningen!$I$4)+invoer_woningen!O7)*invoer_woningen!$E7)</f>
        <v/>
      </c>
      <c r="H7" s="23" t="str">
        <f>IF(ISBLANK(invoer_woningen!E7)=TRUE,"",(SUMIF(invoer_aanpakken!A$3:A$508,invoer_woningen!M7, invoer_aanpakken!G$3:G$508))/1000)</f>
        <v/>
      </c>
      <c r="I7" s="23" t="str">
        <f>IF(ISBLANK(invoer_woningen!E7)=TRUE,"",(SUMIF(invoer_aanpakken!A$3:A$508,invoer_woningen!M7, invoer_aanpakken!F$3:F$508))/1000)</f>
        <v/>
      </c>
      <c r="J7" s="19" t="str">
        <f t="shared" si="1"/>
        <v/>
      </c>
      <c r="K7" s="30" t="str">
        <f t="shared" si="2"/>
        <v/>
      </c>
      <c r="L7" s="30" t="str">
        <f>IF(ISBLANK(invoer_woningen!E7)=TRUE,"",C7-F7)</f>
        <v/>
      </c>
      <c r="M7" s="70" t="str">
        <f>IF(ISBLANK(invoer_woningen!E7)=TRUE,"",(H7-I7))</f>
        <v/>
      </c>
      <c r="N7" s="30" t="str">
        <f>IF(ISBLANK(invoer_woningen!E7)=TRUE,"",M7*invoer_woningen!$E7)</f>
        <v/>
      </c>
      <c r="O7" s="19" t="str">
        <f>IF(ISBLANK(invoer_woningen!E7)=TRUE,"",(C7+(H7*invoer_woningen!E7)-F7-(I7*invoer_woningen!E7))/(C7+(H7*invoer_woningen!E7)))</f>
        <v/>
      </c>
      <c r="P7" s="18" t="str">
        <f>IF(ISBLANK(invoer_woningen!E7)=TRUE,"",IF(O7&lt;0.5,0,MIN(15000,((L7/invoer_woningen!E7)+M7)*120)))</f>
        <v/>
      </c>
      <c r="Q7" s="18" t="str">
        <f>IF(ISBLANK(invoer_woningen!E7)=TRUE,"",P7*invoer_woningen!E7)</f>
        <v/>
      </c>
      <c r="S7" s="38" t="str">
        <f>IF(Z7&lt;1,"",invoer_woningen!R7)</f>
        <v/>
      </c>
      <c r="T7" s="38" t="str">
        <f>IF(ISBLANK(invoer_woningen!E7)=TRUE,"",(K7/1000)*((VLOOKUP(_xlfn.CONCAT(invoer_woningen!B7," ",invoer_woningen!C7," ",invoer_woningen!D7),kengetallen_woningen!H$25:K$264,4,FALSE))-invoer_woningen!E7))</f>
        <v/>
      </c>
      <c r="V7" s="123" t="str">
        <f>IF(ISERR(kengetallen_energielasten!G25)=TRUE,"",kengetallen_energielasten!G25)</f>
        <v/>
      </c>
      <c r="W7" s="123" t="str">
        <f>IF(ISBLANK(invoer_woningen!E7)=TRUE,"",IF(ISERR(kengetallen_energielasten!I64)=TRUE,"nnb",kengetallen_energielasten!I64))</f>
        <v/>
      </c>
      <c r="X7" s="123" t="str">
        <f>IF(ISBLANK(invoer_woningen!E7)=TRUE,"",IF(W7=0,"nnb",W7-V7))</f>
        <v/>
      </c>
      <c r="Y7" s="121" t="str">
        <f>IF(ISBLANK(invoer_woningen!E7)=TRUE,"",IF(X7="nnb","nnb",(W7-V7)/V7))</f>
        <v/>
      </c>
      <c r="Z7" s="2">
        <f>IF(O7&gt;=0.5,invoer_woningen!E7,0)</f>
        <v>0</v>
      </c>
      <c r="AA7" s="2">
        <f>IF(O7&gt;=0.5,invoer_woningen!F7,0)</f>
        <v>0</v>
      </c>
    </row>
    <row r="8" spans="1:27" x14ac:dyDescent="0.3">
      <c r="A8" s="1" t="str">
        <f>invoer_woningen!A8</f>
        <v>E</v>
      </c>
      <c r="B8" s="22" t="str">
        <f>IF(ISBLANK(invoer_woningen!E8)=TRUE,"",((invoer_woningen!J8*kengetallen_woningen!$C$3)+((invoer_woningen!K8-invoer_woningen!L8)*kengetallen_woningen!$C$4))/1000)</f>
        <v/>
      </c>
      <c r="C8" s="36" t="str">
        <f>IF(ISBLANK(invoer_woningen!E8)=TRUE,"",B8*30*invoer_woningen!$E8)</f>
        <v/>
      </c>
      <c r="D8" s="36" t="str">
        <f>IF(Z8&lt;1,"",30*((invoer_woningen!J8*kengetallen_woningen!$I$3)+((invoer_woningen!K8-invoer_woningen!L8)*kengetallen_woningen!$I$4)+invoer_woningen!O8)*invoer_woningen!$E8)</f>
        <v/>
      </c>
      <c r="E8" s="23" t="str">
        <f>IF(ISBLANK(invoer_woningen!E8)=TRUE,"",((invoer_woningen!N8*kengetallen_woningen!$C$3)+((invoer_woningen!P8-invoer_woningen!Q8)*kengetallen_woningen!$C$4)+(invoer_woningen!O8*kengetallen_woningen!$C$5))/1000)</f>
        <v/>
      </c>
      <c r="F8" s="35" t="str">
        <f>IF(ISBLANK(invoer_woningen!E8)=TRUE,"",E8*30*invoer_woningen!$E8)</f>
        <v/>
      </c>
      <c r="G8" s="35" t="str">
        <f>IF(Z8&lt;1,"",30*((invoer_woningen!N8*kengetallen_woningen!$I$3)+((invoer_woningen!P8-invoer_woningen!Q8)*kengetallen_woningen!$I$4)+invoer_woningen!O8)*invoer_woningen!$E8)</f>
        <v/>
      </c>
      <c r="H8" s="23" t="str">
        <f>IF(ISBLANK(invoer_woningen!E8)=TRUE,"",(SUMIF(invoer_aanpakken!A$3:A$508,invoer_woningen!M8, invoer_aanpakken!G$3:G$508))/1000)</f>
        <v/>
      </c>
      <c r="I8" s="23" t="str">
        <f>IF(ISBLANK(invoer_woningen!E8)=TRUE,"",(SUMIF(invoer_aanpakken!A$3:A$508,invoer_woningen!M8, invoer_aanpakken!F$3:F$508))/1000)</f>
        <v/>
      </c>
      <c r="J8" s="19" t="str">
        <f t="shared" si="1"/>
        <v/>
      </c>
      <c r="K8" s="30" t="str">
        <f t="shared" si="2"/>
        <v/>
      </c>
      <c r="L8" s="30" t="str">
        <f>IF(ISBLANK(invoer_woningen!E8)=TRUE,"",C8-F8)</f>
        <v/>
      </c>
      <c r="M8" s="70" t="str">
        <f>IF(ISBLANK(invoer_woningen!E8)=TRUE,"",(H8-I8))</f>
        <v/>
      </c>
      <c r="N8" s="30" t="str">
        <f>IF(ISBLANK(invoer_woningen!E8)=TRUE,"",M8*invoer_woningen!$E8)</f>
        <v/>
      </c>
      <c r="O8" s="19" t="str">
        <f>IF(ISBLANK(invoer_woningen!E8)=TRUE,"",(C8+(H8*invoer_woningen!E8)-F8-(I8*invoer_woningen!E8))/(C8+(H8*invoer_woningen!E8)))</f>
        <v/>
      </c>
      <c r="P8" s="18" t="str">
        <f>IF(ISBLANK(invoer_woningen!E8)=TRUE,"",IF(O8&lt;0.5,0,MIN(15000,((L8/invoer_woningen!E8)+M8)*120)))</f>
        <v/>
      </c>
      <c r="Q8" s="18" t="str">
        <f>IF(ISBLANK(invoer_woningen!E8)=TRUE,"",P8*invoer_woningen!E8)</f>
        <v/>
      </c>
      <c r="S8" s="38" t="str">
        <f>IF(Z8&lt;1,"",invoer_woningen!R8)</f>
        <v/>
      </c>
      <c r="T8" s="38" t="str">
        <f>IF(ISBLANK(invoer_woningen!E8)=TRUE,"",(K8/1000)*((VLOOKUP(_xlfn.CONCAT(invoer_woningen!B8," ",invoer_woningen!C8," ",invoer_woningen!D8),kengetallen_woningen!H$25:K$264,4,FALSE))-invoer_woningen!E8))</f>
        <v/>
      </c>
      <c r="V8" s="123" t="str">
        <f>IF(ISERR(kengetallen_energielasten!G26)=TRUE,"",kengetallen_energielasten!G26)</f>
        <v/>
      </c>
      <c r="W8" s="123" t="str">
        <f>IF(ISBLANK(invoer_woningen!E8)=TRUE,"",IF(ISERR(kengetallen_energielasten!I65)=TRUE,"nnb",kengetallen_energielasten!I65))</f>
        <v/>
      </c>
      <c r="X8" s="123" t="str">
        <f>IF(ISBLANK(invoer_woningen!E8)=TRUE,"",IF(W8=0,"nnb",W8-V8))</f>
        <v/>
      </c>
      <c r="Y8" s="121" t="str">
        <f>IF(ISBLANK(invoer_woningen!E8)=TRUE,"",IF(X8="nnb","nnb",(W8-V8)/V8))</f>
        <v/>
      </c>
      <c r="Z8" s="2">
        <f>IF(O8&gt;=0.5,invoer_woningen!E8,0)</f>
        <v>0</v>
      </c>
      <c r="AA8" s="2">
        <f>IF(O8&gt;=0.5,invoer_woningen!F8,0)</f>
        <v>0</v>
      </c>
    </row>
    <row r="9" spans="1:27" x14ac:dyDescent="0.3">
      <c r="A9" s="1" t="str">
        <f>invoer_woningen!A9</f>
        <v>F</v>
      </c>
      <c r="B9" s="22" t="str">
        <f>IF(ISBLANK(invoer_woningen!E9)=TRUE,"",((invoer_woningen!J9*kengetallen_woningen!$C$3)+((invoer_woningen!K9-invoer_woningen!L9)*kengetallen_woningen!$C$4))/1000)</f>
        <v/>
      </c>
      <c r="C9" s="36" t="str">
        <f>IF(ISBLANK(invoer_woningen!E9)=TRUE,"",B9*30*invoer_woningen!$E9)</f>
        <v/>
      </c>
      <c r="D9" s="36" t="str">
        <f>IF(Z9&lt;1,"",30*((invoer_woningen!J9*kengetallen_woningen!$I$3)+((invoer_woningen!K9-invoer_woningen!L9)*kengetallen_woningen!$I$4)+invoer_woningen!O9)*invoer_woningen!$E9)</f>
        <v/>
      </c>
      <c r="E9" s="23" t="str">
        <f>IF(ISBLANK(invoer_woningen!E9)=TRUE,"",((invoer_woningen!N9*kengetallen_woningen!$C$3)+((invoer_woningen!P9-invoer_woningen!Q9)*kengetallen_woningen!$C$4)+(invoer_woningen!O9*kengetallen_woningen!$C$5))/1000)</f>
        <v/>
      </c>
      <c r="F9" s="35" t="str">
        <f>IF(ISBLANK(invoer_woningen!E9)=TRUE,"",E9*30*invoer_woningen!$E9)</f>
        <v/>
      </c>
      <c r="G9" s="35" t="str">
        <f>IF(Z9&lt;1,"",30*((invoer_woningen!N9*kengetallen_woningen!$I$3)+((invoer_woningen!P9-invoer_woningen!Q9)*kengetallen_woningen!$I$4)+invoer_woningen!O9)*invoer_woningen!$E9)</f>
        <v/>
      </c>
      <c r="H9" s="23" t="str">
        <f>IF(ISBLANK(invoer_woningen!E9)=TRUE,"",(SUMIF(invoer_aanpakken!A$3:A$508,invoer_woningen!M9, invoer_aanpakken!G$3:G$508))/1000)</f>
        <v/>
      </c>
      <c r="I9" s="23" t="str">
        <f>IF(ISBLANK(invoer_woningen!E9)=TRUE,"",(SUMIF(invoer_aanpakken!A$3:A$508,invoer_woningen!M9, invoer_aanpakken!F$3:F$508))/1000)</f>
        <v/>
      </c>
      <c r="J9" s="19" t="str">
        <f t="shared" si="1"/>
        <v/>
      </c>
      <c r="K9" s="30" t="str">
        <f t="shared" si="2"/>
        <v/>
      </c>
      <c r="L9" s="30" t="str">
        <f>IF(ISBLANK(invoer_woningen!E9)=TRUE,"",C9-F9)</f>
        <v/>
      </c>
      <c r="M9" s="70" t="str">
        <f>IF(ISBLANK(invoer_woningen!E9)=TRUE,"",(H9-I9))</f>
        <v/>
      </c>
      <c r="N9" s="30" t="str">
        <f>IF(ISBLANK(invoer_woningen!E9)=TRUE,"",M9*invoer_woningen!$E9)</f>
        <v/>
      </c>
      <c r="O9" s="19" t="str">
        <f>IF(ISBLANK(invoer_woningen!E9)=TRUE,"",(C9+(H9*invoer_woningen!E9)-F9-(I9*invoer_woningen!E9))/(C9+(H9*invoer_woningen!E9)))</f>
        <v/>
      </c>
      <c r="P9" s="18" t="str">
        <f>IF(ISBLANK(invoer_woningen!E9)=TRUE,"",IF(O9&lt;0.5,0,MIN(15000,((L9/invoer_woningen!E9)+M9)*120)))</f>
        <v/>
      </c>
      <c r="Q9" s="18" t="str">
        <f>IF(ISBLANK(invoer_woningen!E9)=TRUE,"",P9*invoer_woningen!E9)</f>
        <v/>
      </c>
      <c r="S9" s="38" t="str">
        <f>IF(Z9&lt;1,"",invoer_woningen!R9)</f>
        <v/>
      </c>
      <c r="T9" s="38" t="str">
        <f>IF(ISBLANK(invoer_woningen!E9)=TRUE,"",(K9/1000)*((VLOOKUP(_xlfn.CONCAT(invoer_woningen!B9," ",invoer_woningen!C9," ",invoer_woningen!D9),kengetallen_woningen!H$25:K$264,4,FALSE))-invoer_woningen!E9))</f>
        <v/>
      </c>
      <c r="V9" s="123" t="str">
        <f>IF(ISERR(kengetallen_energielasten!G27)=TRUE,"",kengetallen_energielasten!G27)</f>
        <v/>
      </c>
      <c r="W9" s="123" t="str">
        <f>IF(ISBLANK(invoer_woningen!E9)=TRUE,"",IF(ISERR(kengetallen_energielasten!I66)=TRUE,"nnb",kengetallen_energielasten!I66))</f>
        <v/>
      </c>
      <c r="X9" s="123" t="str">
        <f>IF(ISBLANK(invoer_woningen!E9)=TRUE,"",IF(W9=0,"nnb",W9-V9))</f>
        <v/>
      </c>
      <c r="Y9" s="121" t="str">
        <f>IF(ISBLANK(invoer_woningen!E9)=TRUE,"",IF(X9="nnb","nnb",(W9-V9)/V9))</f>
        <v/>
      </c>
      <c r="Z9" s="2">
        <f>IF(O9&gt;=0.5,invoer_woningen!E9,0)</f>
        <v>0</v>
      </c>
      <c r="AA9" s="2">
        <f>IF(O9&gt;=0.5,invoer_woningen!F9,0)</f>
        <v>0</v>
      </c>
    </row>
    <row r="10" spans="1:27" x14ac:dyDescent="0.3">
      <c r="A10" s="1" t="str">
        <f>invoer_woningen!A10</f>
        <v>G</v>
      </c>
      <c r="B10" s="22" t="str">
        <f>IF(ISBLANK(invoer_woningen!E10)=TRUE,"",((invoer_woningen!J10*kengetallen_woningen!$C$3)+((invoer_woningen!K10-invoer_woningen!L10)*kengetallen_woningen!$C$4))/1000)</f>
        <v/>
      </c>
      <c r="C10" s="36" t="str">
        <f>IF(ISBLANK(invoer_woningen!E10)=TRUE,"",B10*30*invoer_woningen!$E10)</f>
        <v/>
      </c>
      <c r="D10" s="36" t="str">
        <f>IF(Z10&lt;1,"",30*((invoer_woningen!J10*kengetallen_woningen!$I$3)+((invoer_woningen!K10-invoer_woningen!L10)*kengetallen_woningen!$I$4)+invoer_woningen!O10)*invoer_woningen!$E10)</f>
        <v/>
      </c>
      <c r="E10" s="23" t="str">
        <f>IF(ISBLANK(invoer_woningen!E10)=TRUE,"",((invoer_woningen!N10*kengetallen_woningen!$C$3)+((invoer_woningen!P10-invoer_woningen!Q10)*kengetallen_woningen!$C$4)+(invoer_woningen!O10*kengetallen_woningen!$C$5))/1000)</f>
        <v/>
      </c>
      <c r="F10" s="35" t="str">
        <f>IF(ISBLANK(invoer_woningen!E10)=TRUE,"",E10*30*invoer_woningen!$E10)</f>
        <v/>
      </c>
      <c r="G10" s="35" t="str">
        <f>IF(Z10&lt;1,"",30*((invoer_woningen!N10*kengetallen_woningen!$I$3)+((invoer_woningen!P10-invoer_woningen!Q10)*kengetallen_woningen!$I$4)+invoer_woningen!O10)*invoer_woningen!$E10)</f>
        <v/>
      </c>
      <c r="H10" s="23" t="str">
        <f>IF(ISBLANK(invoer_woningen!E10)=TRUE,"",(SUMIF(invoer_aanpakken!A$3:A$508,invoer_woningen!M10, invoer_aanpakken!G$3:G$508))/1000)</f>
        <v/>
      </c>
      <c r="I10" s="23" t="str">
        <f>IF(ISBLANK(invoer_woningen!E10)=TRUE,"",(SUMIF(invoer_aanpakken!A$3:A$508,invoer_woningen!M10, invoer_aanpakken!F$3:F$508))/1000)</f>
        <v/>
      </c>
      <c r="J10" s="19" t="str">
        <f t="shared" si="1"/>
        <v/>
      </c>
      <c r="K10" s="30" t="str">
        <f t="shared" si="2"/>
        <v/>
      </c>
      <c r="L10" s="30" t="str">
        <f>IF(ISBLANK(invoer_woningen!E10)=TRUE,"",C10-F10)</f>
        <v/>
      </c>
      <c r="M10" s="70" t="str">
        <f>IF(ISBLANK(invoer_woningen!E10)=TRUE,"",(H10-I10))</f>
        <v/>
      </c>
      <c r="N10" s="30" t="str">
        <f>IF(ISBLANK(invoer_woningen!E10)=TRUE,"",M10*invoer_woningen!$E10)</f>
        <v/>
      </c>
      <c r="O10" s="19" t="str">
        <f>IF(ISBLANK(invoer_woningen!E10)=TRUE,"",(C10+(H10*invoer_woningen!E10)-F10-(I10*invoer_woningen!E10))/(C10+(H10*invoer_woningen!E10)))</f>
        <v/>
      </c>
      <c r="P10" s="18" t="str">
        <f>IF(ISBLANK(invoer_woningen!E10)=TRUE,"",IF(O10&lt;0.5,0,MIN(15000,((L10/invoer_woningen!E10)+M10)*120)))</f>
        <v/>
      </c>
      <c r="Q10" s="18" t="str">
        <f>IF(ISBLANK(invoer_woningen!E10)=TRUE,"",P10*invoer_woningen!E10)</f>
        <v/>
      </c>
      <c r="S10" s="38" t="str">
        <f>IF(Z10&lt;1,"",invoer_woningen!R10)</f>
        <v/>
      </c>
      <c r="T10" s="38" t="str">
        <f>IF(ISBLANK(invoer_woningen!E10)=TRUE,"",(K10/1000)*((VLOOKUP(_xlfn.CONCAT(invoer_woningen!B10," ",invoer_woningen!C10," ",invoer_woningen!D10),kengetallen_woningen!H$25:K$264,4,FALSE))-invoer_woningen!E10))</f>
        <v/>
      </c>
      <c r="V10" s="123" t="str">
        <f>IF(ISERR(kengetallen_energielasten!G28)=TRUE,"",kengetallen_energielasten!G28)</f>
        <v/>
      </c>
      <c r="W10" s="123" t="str">
        <f>IF(ISBLANK(invoer_woningen!E10)=TRUE,"",IF(ISERR(kengetallen_energielasten!I67)=TRUE,"nnb",kengetallen_energielasten!I67))</f>
        <v/>
      </c>
      <c r="X10" s="123" t="str">
        <f>IF(ISBLANK(invoer_woningen!E10)=TRUE,"",IF(W10=0,"nnb",W10-V10))</f>
        <v/>
      </c>
      <c r="Y10" s="121" t="str">
        <f>IF(ISBLANK(invoer_woningen!E10)=TRUE,"",IF(X10="nnb","nnb",(W10-V10)/V10))</f>
        <v/>
      </c>
      <c r="Z10" s="2">
        <f>IF(O10&gt;=0.5,invoer_woningen!E10,0)</f>
        <v>0</v>
      </c>
      <c r="AA10" s="2">
        <f>IF(O10&gt;=0.5,invoer_woningen!F10,0)</f>
        <v>0</v>
      </c>
    </row>
    <row r="11" spans="1:27" x14ac:dyDescent="0.3">
      <c r="A11" s="1" t="str">
        <f>invoer_woningen!A11</f>
        <v>H</v>
      </c>
      <c r="B11" s="22" t="str">
        <f>IF(ISBLANK(invoer_woningen!E11)=TRUE,"",((invoer_woningen!J11*kengetallen_woningen!$C$3)+((invoer_woningen!K11-invoer_woningen!L11)*kengetallen_woningen!$C$4))/1000)</f>
        <v/>
      </c>
      <c r="C11" s="36" t="str">
        <f>IF(ISBLANK(invoer_woningen!E11)=TRUE,"",B11*30*invoer_woningen!$E11)</f>
        <v/>
      </c>
      <c r="D11" s="36" t="str">
        <f>IF(Z11&lt;1,"",30*((invoer_woningen!J11*kengetallen_woningen!$I$3)+((invoer_woningen!K11-invoer_woningen!L11)*kengetallen_woningen!$I$4)+invoer_woningen!O11)*invoer_woningen!$E11)</f>
        <v/>
      </c>
      <c r="E11" s="23" t="str">
        <f>IF(ISBLANK(invoer_woningen!E11)=TRUE,"",((invoer_woningen!N11*kengetallen_woningen!$C$3)+((invoer_woningen!P11-invoer_woningen!Q11)*kengetallen_woningen!$C$4)+(invoer_woningen!O11*kengetallen_woningen!$C$5))/1000)</f>
        <v/>
      </c>
      <c r="F11" s="35" t="str">
        <f>IF(ISBLANK(invoer_woningen!E11)=TRUE,"",E11*30*invoer_woningen!$E11)</f>
        <v/>
      </c>
      <c r="G11" s="35" t="str">
        <f>IF(Z11&lt;1,"",30*((invoer_woningen!N11*kengetallen_woningen!$I$3)+((invoer_woningen!P11-invoer_woningen!Q11)*kengetallen_woningen!$I$4)+invoer_woningen!O11)*invoer_woningen!$E11)</f>
        <v/>
      </c>
      <c r="H11" s="23" t="str">
        <f>IF(ISBLANK(invoer_woningen!E11)=TRUE,"",(SUMIF(invoer_aanpakken!A$3:A$508,invoer_woningen!M11, invoer_aanpakken!G$3:G$508))/1000)</f>
        <v/>
      </c>
      <c r="I11" s="23" t="str">
        <f>IF(ISBLANK(invoer_woningen!E11)=TRUE,"",(SUMIF(invoer_aanpakken!A$3:A$508,invoer_woningen!M11, invoer_aanpakken!F$3:F$508))/1000)</f>
        <v/>
      </c>
      <c r="J11" s="19" t="str">
        <f t="shared" si="1"/>
        <v/>
      </c>
      <c r="K11" s="30" t="str">
        <f t="shared" si="2"/>
        <v/>
      </c>
      <c r="L11" s="30" t="str">
        <f>IF(ISBLANK(invoer_woningen!E11)=TRUE,"",C11-F11)</f>
        <v/>
      </c>
      <c r="M11" s="70" t="str">
        <f>IF(ISBLANK(invoer_woningen!E11)=TRUE,"",(H11-I11))</f>
        <v/>
      </c>
      <c r="N11" s="30" t="str">
        <f>IF(ISBLANK(invoer_woningen!E11)=TRUE,"",M11*invoer_woningen!$E11)</f>
        <v/>
      </c>
      <c r="O11" s="19" t="str">
        <f>IF(ISBLANK(invoer_woningen!E11)=TRUE,"",(C11+(H11*invoer_woningen!E11)-F11-(I11*invoer_woningen!E11))/(C11+(H11*invoer_woningen!E11)))</f>
        <v/>
      </c>
      <c r="P11" s="18" t="str">
        <f>IF(ISBLANK(invoer_woningen!E11)=TRUE,"",IF(O11&lt;0.5,0,MIN(15000,((L11/invoer_woningen!E11)+M11)*120)))</f>
        <v/>
      </c>
      <c r="Q11" s="18" t="str">
        <f>IF(ISBLANK(invoer_woningen!E11)=TRUE,"",P11*invoer_woningen!E11)</f>
        <v/>
      </c>
      <c r="S11" s="38" t="str">
        <f>IF(Z11&lt;1,"",invoer_woningen!R11)</f>
        <v/>
      </c>
      <c r="T11" s="38" t="str">
        <f>IF(ISBLANK(invoer_woningen!E11)=TRUE,"",(K11/1000)*((VLOOKUP(_xlfn.CONCAT(invoer_woningen!B11," ",invoer_woningen!C11," ",invoer_woningen!D11),kengetallen_woningen!H$25:K$264,4,FALSE))-invoer_woningen!E11))</f>
        <v/>
      </c>
      <c r="V11" s="123" t="str">
        <f>IF(ISERR(kengetallen_energielasten!G29)=TRUE,"",kengetallen_energielasten!G29)</f>
        <v/>
      </c>
      <c r="W11" s="123" t="str">
        <f>IF(ISBLANK(invoer_woningen!E11)=TRUE,"",IF(ISERR(kengetallen_energielasten!I68)=TRUE,"nnb",kengetallen_energielasten!I68))</f>
        <v/>
      </c>
      <c r="X11" s="123" t="str">
        <f>IF(ISBLANK(invoer_woningen!E11)=TRUE,"",IF(W11=0,"nnb",W11-V11))</f>
        <v/>
      </c>
      <c r="Y11" s="121" t="str">
        <f>IF(ISBLANK(invoer_woningen!E11)=TRUE,"",IF(X11="nnb","nnb",(W11-V11)/V11))</f>
        <v/>
      </c>
      <c r="Z11" s="2">
        <f>IF(O11&gt;=0.5,invoer_woningen!E11,0)</f>
        <v>0</v>
      </c>
      <c r="AA11" s="2">
        <f>IF(O11&gt;=0.5,invoer_woningen!F11,0)</f>
        <v>0</v>
      </c>
    </row>
    <row r="12" spans="1:27" x14ac:dyDescent="0.3">
      <c r="A12" s="1" t="str">
        <f>invoer_woningen!A12</f>
        <v>I</v>
      </c>
      <c r="B12" s="22" t="str">
        <f>IF(ISBLANK(invoer_woningen!E12)=TRUE,"",((invoer_woningen!J12*kengetallen_woningen!$C$3)+((invoer_woningen!K12-invoer_woningen!L12)*kengetallen_woningen!$C$4))/1000)</f>
        <v/>
      </c>
      <c r="C12" s="36" t="str">
        <f>IF(ISBLANK(invoer_woningen!E12)=TRUE,"",B12*30*invoer_woningen!$E12)</f>
        <v/>
      </c>
      <c r="D12" s="36" t="str">
        <f>IF(Z12&lt;1,"",30*((invoer_woningen!J12*kengetallen_woningen!$I$3)+((invoer_woningen!K12-invoer_woningen!L12)*kengetallen_woningen!$I$4)+invoer_woningen!O12)*invoer_woningen!$E12)</f>
        <v/>
      </c>
      <c r="E12" s="23" t="str">
        <f>IF(ISBLANK(invoer_woningen!E12)=TRUE,"",((invoer_woningen!N12*kengetallen_woningen!$C$3)+((invoer_woningen!P12-invoer_woningen!Q12)*kengetallen_woningen!$C$4)+(invoer_woningen!O12*kengetallen_woningen!$C$5))/1000)</f>
        <v/>
      </c>
      <c r="F12" s="35" t="str">
        <f>IF(ISBLANK(invoer_woningen!E12)=TRUE,"",E12*30*invoer_woningen!$E12)</f>
        <v/>
      </c>
      <c r="G12" s="35" t="str">
        <f>IF(Z12&lt;1,"",30*((invoer_woningen!N12*kengetallen_woningen!$I$3)+((invoer_woningen!P12-invoer_woningen!Q12)*kengetallen_woningen!$I$4)+invoer_woningen!O12)*invoer_woningen!$E12)</f>
        <v/>
      </c>
      <c r="H12" s="23" t="str">
        <f>IF(ISBLANK(invoer_woningen!E12)=TRUE,"",(SUMIF(invoer_aanpakken!A$3:A$508,invoer_woningen!M12, invoer_aanpakken!G$3:G$508))/1000)</f>
        <v/>
      </c>
      <c r="I12" s="23" t="str">
        <f>IF(ISBLANK(invoer_woningen!E12)=TRUE,"",(SUMIF(invoer_aanpakken!A$3:A$508,invoer_woningen!M12, invoer_aanpakken!F$3:F$508))/1000)</f>
        <v/>
      </c>
      <c r="J12" s="19" t="str">
        <f t="shared" si="1"/>
        <v/>
      </c>
      <c r="K12" s="30" t="str">
        <f t="shared" si="2"/>
        <v/>
      </c>
      <c r="L12" s="30" t="str">
        <f>IF(ISBLANK(invoer_woningen!E12)=TRUE,"",C12-F12)</f>
        <v/>
      </c>
      <c r="M12" s="70" t="str">
        <f>IF(ISBLANK(invoer_woningen!E12)=TRUE,"",(H12-I12))</f>
        <v/>
      </c>
      <c r="N12" s="30" t="str">
        <f>IF(ISBLANK(invoer_woningen!E12)=TRUE,"",M12*invoer_woningen!$E12)</f>
        <v/>
      </c>
      <c r="O12" s="19" t="str">
        <f>IF(ISBLANK(invoer_woningen!E12)=TRUE,"",(C12+(H12*invoer_woningen!E12)-F12-(I12*invoer_woningen!E12))/(C12+(H12*invoer_woningen!E12)))</f>
        <v/>
      </c>
      <c r="P12" s="18" t="str">
        <f>IF(ISBLANK(invoer_woningen!E12)=TRUE,"",IF(O12&lt;0.5,0,MIN(15000,((L12/invoer_woningen!E12)+M12)*120)))</f>
        <v/>
      </c>
      <c r="Q12" s="18" t="str">
        <f>IF(ISBLANK(invoer_woningen!E12)=TRUE,"",P12*invoer_woningen!E12)</f>
        <v/>
      </c>
      <c r="S12" s="38" t="str">
        <f>IF(Z12&lt;1,"",invoer_woningen!R12)</f>
        <v/>
      </c>
      <c r="T12" s="38" t="str">
        <f>IF(ISBLANK(invoer_woningen!E12)=TRUE,"",(K12/1000)*((VLOOKUP(_xlfn.CONCAT(invoer_woningen!B12," ",invoer_woningen!C12," ",invoer_woningen!D12),kengetallen_woningen!H$25:K$264,4,FALSE))-invoer_woningen!E12))</f>
        <v/>
      </c>
      <c r="V12" s="123" t="str">
        <f>IF(ISERR(kengetallen_energielasten!G30)=TRUE,"",kengetallen_energielasten!G30)</f>
        <v/>
      </c>
      <c r="W12" s="123" t="str">
        <f>IF(ISBLANK(invoer_woningen!E12)=TRUE,"",IF(ISERR(kengetallen_energielasten!I69)=TRUE,"nnb",kengetallen_energielasten!I69))</f>
        <v/>
      </c>
      <c r="X12" s="123" t="str">
        <f>IF(ISBLANK(invoer_woningen!E12)=TRUE,"",IF(W12=0,"nnb",W12-V12))</f>
        <v/>
      </c>
      <c r="Y12" s="121" t="str">
        <f>IF(ISBLANK(invoer_woningen!E12)=TRUE,"",IF(X12="nnb","nnb",(W12-V12)/V12))</f>
        <v/>
      </c>
      <c r="Z12" s="2">
        <f>IF(O12&gt;=0.5,invoer_woningen!E12,0)</f>
        <v>0</v>
      </c>
      <c r="AA12" s="2">
        <f>IF(O12&gt;=0.5,invoer_woningen!F12,0)</f>
        <v>0</v>
      </c>
    </row>
    <row r="13" spans="1:27" x14ac:dyDescent="0.3">
      <c r="A13" s="1" t="str">
        <f>invoer_woningen!A13</f>
        <v>J</v>
      </c>
      <c r="B13" s="22" t="str">
        <f>IF(ISBLANK(invoer_woningen!E13)=TRUE,"",((invoer_woningen!J13*kengetallen_woningen!$C$3)+((invoer_woningen!K13-invoer_woningen!L13)*kengetallen_woningen!$C$4))/1000)</f>
        <v/>
      </c>
      <c r="C13" s="36" t="str">
        <f>IF(ISBLANK(invoer_woningen!E13)=TRUE,"",B13*30*invoer_woningen!$E13)</f>
        <v/>
      </c>
      <c r="D13" s="36" t="str">
        <f>IF(Z13&lt;1,"",30*((invoer_woningen!J13*kengetallen_woningen!$I$3)+((invoer_woningen!K13-invoer_woningen!L13)*kengetallen_woningen!$I$4)+invoer_woningen!O13)*invoer_woningen!$E13)</f>
        <v/>
      </c>
      <c r="E13" s="23" t="str">
        <f>IF(ISBLANK(invoer_woningen!E13)=TRUE,"",((invoer_woningen!N13*kengetallen_woningen!$C$3)+((invoer_woningen!P13-invoer_woningen!Q13)*kengetallen_woningen!$C$4)+(invoer_woningen!O13*kengetallen_woningen!$C$5))/1000)</f>
        <v/>
      </c>
      <c r="F13" s="35" t="str">
        <f>IF(ISBLANK(invoer_woningen!E13)=TRUE,"",E13*30*invoer_woningen!$E13)</f>
        <v/>
      </c>
      <c r="G13" s="35" t="str">
        <f>IF(Z13&lt;1,"",30*((invoer_woningen!N13*kengetallen_woningen!$I$3)+((invoer_woningen!P13-invoer_woningen!Q13)*kengetallen_woningen!$I$4)+invoer_woningen!O13)*invoer_woningen!$E13)</f>
        <v/>
      </c>
      <c r="H13" s="23" t="str">
        <f>IF(ISBLANK(invoer_woningen!E13)=TRUE,"",(SUMIF(invoer_aanpakken!A$3:A$508,invoer_woningen!M13, invoer_aanpakken!G$3:G$508))/1000)</f>
        <v/>
      </c>
      <c r="I13" s="23" t="str">
        <f>IF(ISBLANK(invoer_woningen!E13)=TRUE,"",(SUMIF(invoer_aanpakken!A$3:A$508,invoer_woningen!M13, invoer_aanpakken!F$3:F$508))/1000)</f>
        <v/>
      </c>
      <c r="J13" s="19" t="str">
        <f t="shared" si="1"/>
        <v/>
      </c>
      <c r="K13" s="30" t="str">
        <f t="shared" si="2"/>
        <v/>
      </c>
      <c r="L13" s="30" t="str">
        <f>IF(ISBLANK(invoer_woningen!E13)=TRUE,"",C13-F13)</f>
        <v/>
      </c>
      <c r="M13" s="70" t="str">
        <f>IF(ISBLANK(invoer_woningen!E13)=TRUE,"",(H13-I13))</f>
        <v/>
      </c>
      <c r="N13" s="30" t="str">
        <f>IF(ISBLANK(invoer_woningen!E13)=TRUE,"",M13*invoer_woningen!$E13)</f>
        <v/>
      </c>
      <c r="O13" s="19" t="str">
        <f>IF(ISBLANK(invoer_woningen!E13)=TRUE,"",(C13+(H13*invoer_woningen!E13)-F13-(I13*invoer_woningen!E13))/(C13+(H13*invoer_woningen!E13)))</f>
        <v/>
      </c>
      <c r="P13" s="18" t="str">
        <f>IF(ISBLANK(invoer_woningen!E13)=TRUE,"",IF(O13&lt;0.5,0,MIN(15000,((L13/invoer_woningen!E13)+M13)*120)))</f>
        <v/>
      </c>
      <c r="Q13" s="18" t="str">
        <f>IF(ISBLANK(invoer_woningen!E13)=TRUE,"",P13*invoer_woningen!E13)</f>
        <v/>
      </c>
      <c r="S13" s="38" t="str">
        <f>IF(Z13&lt;1,"",invoer_woningen!R13)</f>
        <v/>
      </c>
      <c r="T13" s="38" t="str">
        <f>IF(ISBLANK(invoer_woningen!E13)=TRUE,"",(K13/1000)*((VLOOKUP(_xlfn.CONCAT(invoer_woningen!B13," ",invoer_woningen!C13," ",invoer_woningen!D13),kengetallen_woningen!H$25:K$264,4,FALSE))-invoer_woningen!E13))</f>
        <v/>
      </c>
      <c r="V13" s="123" t="str">
        <f>IF(ISERR(kengetallen_energielasten!G31)=TRUE,"",kengetallen_energielasten!G31)</f>
        <v/>
      </c>
      <c r="W13" s="123" t="str">
        <f>IF(ISBLANK(invoer_woningen!E13)=TRUE,"",IF(ISERR(kengetallen_energielasten!I70)=TRUE,"nnb",kengetallen_energielasten!I70))</f>
        <v/>
      </c>
      <c r="X13" s="123" t="str">
        <f>IF(ISBLANK(invoer_woningen!E13)=TRUE,"",IF(W13=0,"nnb",W13-V13))</f>
        <v/>
      </c>
      <c r="Y13" s="121" t="str">
        <f>IF(ISBLANK(invoer_woningen!E13)=TRUE,"",IF(X13="nnb","nnb",(W13-V13)/V13))</f>
        <v/>
      </c>
      <c r="Z13" s="2">
        <f>IF(O13&gt;=0.5,invoer_woningen!E13,0)</f>
        <v>0</v>
      </c>
      <c r="AA13" s="2">
        <f>IF(O13&gt;=0.5,invoer_woningen!F13,0)</f>
        <v>0</v>
      </c>
    </row>
    <row r="14" spans="1:27" x14ac:dyDescent="0.3">
      <c r="A14" s="1" t="str">
        <f>invoer_woningen!A14</f>
        <v>K</v>
      </c>
      <c r="B14" s="22" t="str">
        <f>IF(ISBLANK(invoer_woningen!E14)=TRUE,"",((invoer_woningen!J14*kengetallen_woningen!$C$3)+((invoer_woningen!K14-invoer_woningen!L14)*kengetallen_woningen!$C$4))/1000)</f>
        <v/>
      </c>
      <c r="C14" s="36" t="str">
        <f>IF(ISBLANK(invoer_woningen!E14)=TRUE,"",B14*30*invoer_woningen!$E14)</f>
        <v/>
      </c>
      <c r="D14" s="36" t="str">
        <f>IF(Z14&lt;1,"",30*((invoer_woningen!J14*kengetallen_woningen!$I$3)+((invoer_woningen!K14-invoer_woningen!L14)*kengetallen_woningen!$I$4)+invoer_woningen!O14)*invoer_woningen!$E14)</f>
        <v/>
      </c>
      <c r="E14" s="23" t="str">
        <f>IF(ISBLANK(invoer_woningen!E14)=TRUE,"",((invoer_woningen!N14*kengetallen_woningen!$C$3)+((invoer_woningen!P14-invoer_woningen!Q14)*kengetallen_woningen!$C$4)+(invoer_woningen!O14*kengetallen_woningen!$C$5))/1000)</f>
        <v/>
      </c>
      <c r="F14" s="35" t="str">
        <f>IF(ISBLANK(invoer_woningen!E14)=TRUE,"",E14*30*invoer_woningen!$E14)</f>
        <v/>
      </c>
      <c r="G14" s="35" t="str">
        <f>IF(Z14&lt;1,"",30*((invoer_woningen!N14*kengetallen_woningen!$I$3)+((invoer_woningen!P14-invoer_woningen!Q14)*kengetallen_woningen!$I$4)+invoer_woningen!O14)*invoer_woningen!$E14)</f>
        <v/>
      </c>
      <c r="H14" s="23" t="str">
        <f>IF(ISBLANK(invoer_woningen!E14)=TRUE,"",(SUMIF(invoer_aanpakken!A$3:A$508,invoer_woningen!M14, invoer_aanpakken!G$3:G$508))/1000)</f>
        <v/>
      </c>
      <c r="I14" s="23" t="str">
        <f>IF(ISBLANK(invoer_woningen!E14)=TRUE,"",(SUMIF(invoer_aanpakken!A$3:A$508,invoer_woningen!M14, invoer_aanpakken!F$3:F$508))/1000)</f>
        <v/>
      </c>
      <c r="J14" s="19" t="str">
        <f t="shared" si="1"/>
        <v/>
      </c>
      <c r="K14" s="30" t="str">
        <f t="shared" si="2"/>
        <v/>
      </c>
      <c r="L14" s="30" t="str">
        <f>IF(ISBLANK(invoer_woningen!E14)=TRUE,"",C14-F14)</f>
        <v/>
      </c>
      <c r="M14" s="70" t="str">
        <f>IF(ISBLANK(invoer_woningen!E14)=TRUE,"",(H14-I14))</f>
        <v/>
      </c>
      <c r="N14" s="30" t="str">
        <f>IF(ISBLANK(invoer_woningen!E14)=TRUE,"",M14*invoer_woningen!$E14)</f>
        <v/>
      </c>
      <c r="O14" s="19" t="str">
        <f>IF(ISBLANK(invoer_woningen!E14)=TRUE,"",(C14+(H14*invoer_woningen!E14)-F14-(I14*invoer_woningen!E14))/(C14+(H14*invoer_woningen!E14)))</f>
        <v/>
      </c>
      <c r="P14" s="18" t="str">
        <f>IF(ISBLANK(invoer_woningen!E14)=TRUE,"",IF(O14&lt;0.5,0,MIN(15000,((L14/invoer_woningen!E14)+M14)*120)))</f>
        <v/>
      </c>
      <c r="Q14" s="18" t="str">
        <f>IF(ISBLANK(invoer_woningen!E14)=TRUE,"",P14*invoer_woningen!E14)</f>
        <v/>
      </c>
      <c r="S14" s="38" t="str">
        <f>IF(Z14&lt;1,"",invoer_woningen!R14)</f>
        <v/>
      </c>
      <c r="T14" s="38" t="str">
        <f>IF(ISBLANK(invoer_woningen!E14)=TRUE,"",(K14/1000)*((VLOOKUP(_xlfn.CONCAT(invoer_woningen!B14," ",invoer_woningen!C14," ",invoer_woningen!D14),kengetallen_woningen!H$25:K$264,4,FALSE))-invoer_woningen!E14))</f>
        <v/>
      </c>
      <c r="V14" s="123" t="str">
        <f>IF(ISERR(kengetallen_energielasten!G32)=TRUE,"",kengetallen_energielasten!G32)</f>
        <v/>
      </c>
      <c r="W14" s="123" t="str">
        <f>IF(ISBLANK(invoer_woningen!E14)=TRUE,"",IF(ISERR(kengetallen_energielasten!I71)=TRUE,"nnb",kengetallen_energielasten!I71))</f>
        <v/>
      </c>
      <c r="X14" s="123" t="str">
        <f>IF(ISBLANK(invoer_woningen!E14)=TRUE,"",IF(W14=0,"nnb",W14-V14))</f>
        <v/>
      </c>
      <c r="Y14" s="121" t="str">
        <f>IF(ISBLANK(invoer_woningen!E14)=TRUE,"",IF(X14="nnb","nnb",(W14-V14)/V14))</f>
        <v/>
      </c>
      <c r="Z14" s="2">
        <f>IF(O14&gt;=0.5,invoer_woningen!E14,0)</f>
        <v>0</v>
      </c>
      <c r="AA14" s="2">
        <f>IF(O14&gt;=0.5,invoer_woningen!F14,0)</f>
        <v>0</v>
      </c>
    </row>
    <row r="15" spans="1:27" x14ac:dyDescent="0.3">
      <c r="A15" s="1" t="str">
        <f>invoer_woningen!A15</f>
        <v>L</v>
      </c>
      <c r="B15" s="22" t="str">
        <f>IF(ISBLANK(invoer_woningen!E15)=TRUE,"",((invoer_woningen!J15*kengetallen_woningen!$C$3)+((invoer_woningen!K15-invoer_woningen!L15)*kengetallen_woningen!$C$4))/1000)</f>
        <v/>
      </c>
      <c r="C15" s="36" t="str">
        <f>IF(ISBLANK(invoer_woningen!E15)=TRUE,"",B15*30*invoer_woningen!$E15)</f>
        <v/>
      </c>
      <c r="D15" s="36" t="str">
        <f>IF(Z15&lt;1,"",30*((invoer_woningen!J15*kengetallen_woningen!$I$3)+((invoer_woningen!K15-invoer_woningen!L15)*kengetallen_woningen!$I$4)+invoer_woningen!O15)*invoer_woningen!$E15)</f>
        <v/>
      </c>
      <c r="E15" s="23" t="str">
        <f>IF(ISBLANK(invoer_woningen!E15)=TRUE,"",((invoer_woningen!N15*kengetallen_woningen!$C$3)+((invoer_woningen!P15-invoer_woningen!Q15)*kengetallen_woningen!$C$4)+(invoer_woningen!O15*kengetallen_woningen!$C$5))/1000)</f>
        <v/>
      </c>
      <c r="F15" s="35" t="str">
        <f>IF(ISBLANK(invoer_woningen!E15)=TRUE,"",E15*30*invoer_woningen!$E15)</f>
        <v/>
      </c>
      <c r="G15" s="35" t="str">
        <f>IF(Z15&lt;1,"",30*((invoer_woningen!N15*kengetallen_woningen!$I$3)+((invoer_woningen!P15-invoer_woningen!Q15)*kengetallen_woningen!$I$4)+invoer_woningen!O15)*invoer_woningen!$E15)</f>
        <v/>
      </c>
      <c r="H15" s="23" t="str">
        <f>IF(ISBLANK(invoer_woningen!E15)=TRUE,"",(SUMIF(invoer_aanpakken!A$3:A$508,invoer_woningen!M15, invoer_aanpakken!G$3:G$508))/1000)</f>
        <v/>
      </c>
      <c r="I15" s="23" t="str">
        <f>IF(ISBLANK(invoer_woningen!E15)=TRUE,"",(SUMIF(invoer_aanpakken!A$3:A$508,invoer_woningen!M15, invoer_aanpakken!F$3:F$508))/1000)</f>
        <v/>
      </c>
      <c r="J15" s="19" t="str">
        <f t="shared" si="1"/>
        <v/>
      </c>
      <c r="K15" s="30" t="str">
        <f t="shared" si="2"/>
        <v/>
      </c>
      <c r="L15" s="30" t="str">
        <f>IF(ISBLANK(invoer_woningen!E15)=TRUE,"",C15-F15)</f>
        <v/>
      </c>
      <c r="M15" s="70" t="str">
        <f>IF(ISBLANK(invoer_woningen!E15)=TRUE,"",(H15-I15))</f>
        <v/>
      </c>
      <c r="N15" s="30" t="str">
        <f>IF(ISBLANK(invoer_woningen!E15)=TRUE,"",M15*invoer_woningen!$E15)</f>
        <v/>
      </c>
      <c r="O15" s="19" t="str">
        <f>IF(ISBLANK(invoer_woningen!E15)=TRUE,"",(C15+(H15*invoer_woningen!E15)-F15-(I15*invoer_woningen!E15))/(C15+(H15*invoer_woningen!E15)))</f>
        <v/>
      </c>
      <c r="P15" s="18" t="str">
        <f>IF(ISBLANK(invoer_woningen!E15)=TRUE,"",IF(O15&lt;0.5,0,MIN(15000,((L15/invoer_woningen!E15)+M15)*120)))</f>
        <v/>
      </c>
      <c r="Q15" s="18" t="str">
        <f>IF(ISBLANK(invoer_woningen!E15)=TRUE,"",P15*invoer_woningen!E15)</f>
        <v/>
      </c>
      <c r="S15" s="38" t="str">
        <f>IF(Z15&lt;1,"",invoer_woningen!R15)</f>
        <v/>
      </c>
      <c r="T15" s="38" t="str">
        <f>IF(ISBLANK(invoer_woningen!E15)=TRUE,"",(K15/1000)*((VLOOKUP(_xlfn.CONCAT(invoer_woningen!B15," ",invoer_woningen!C15," ",invoer_woningen!D15),kengetallen_woningen!H$25:K$264,4,FALSE))-invoer_woningen!E15))</f>
        <v/>
      </c>
      <c r="V15" s="123" t="str">
        <f>IF(ISERR(kengetallen_energielasten!G33)=TRUE,"",kengetallen_energielasten!G33)</f>
        <v/>
      </c>
      <c r="W15" s="123" t="str">
        <f>IF(ISBLANK(invoer_woningen!E15)=TRUE,"",IF(ISERR(kengetallen_energielasten!I72)=TRUE,"nnb",kengetallen_energielasten!I72))</f>
        <v/>
      </c>
      <c r="X15" s="123" t="str">
        <f>IF(ISBLANK(invoer_woningen!E15)=TRUE,"",IF(W15=0,"nnb",W15-V15))</f>
        <v/>
      </c>
      <c r="Y15" s="121" t="str">
        <f>IF(ISBLANK(invoer_woningen!E15)=TRUE,"",IF(X15="nnb","nnb",(W15-V15)/V15))</f>
        <v/>
      </c>
      <c r="Z15" s="2">
        <f>IF(O15&gt;=0.5,invoer_woningen!E15,0)</f>
        <v>0</v>
      </c>
      <c r="AA15" s="2">
        <f>IF(O15&gt;=0.5,invoer_woningen!F15,0)</f>
        <v>0</v>
      </c>
    </row>
    <row r="16" spans="1:27" x14ac:dyDescent="0.3">
      <c r="A16" s="1" t="str">
        <f>invoer_woningen!A16</f>
        <v>M</v>
      </c>
      <c r="B16" s="22" t="str">
        <f>IF(ISBLANK(invoer_woningen!E16)=TRUE,"",((invoer_woningen!J16*kengetallen_woningen!$C$3)+((invoer_woningen!K16-invoer_woningen!L16)*kengetallen_woningen!$C$4))/1000)</f>
        <v/>
      </c>
      <c r="C16" s="36" t="str">
        <f>IF(ISBLANK(invoer_woningen!E16)=TRUE,"",B16*30*invoer_woningen!$E16)</f>
        <v/>
      </c>
      <c r="D16" s="36" t="str">
        <f>IF(Z16&lt;1,"",30*((invoer_woningen!J16*kengetallen_woningen!$I$3)+((invoer_woningen!K16-invoer_woningen!L16)*kengetallen_woningen!$I$4)+invoer_woningen!O16)*invoer_woningen!$E16)</f>
        <v/>
      </c>
      <c r="E16" s="23" t="str">
        <f>IF(ISBLANK(invoer_woningen!E16)=TRUE,"",((invoer_woningen!N16*kengetallen_woningen!$C$3)+((invoer_woningen!P16-invoer_woningen!Q16)*kengetallen_woningen!$C$4)+(invoer_woningen!O16*kengetallen_woningen!$C$5))/1000)</f>
        <v/>
      </c>
      <c r="F16" s="35" t="str">
        <f>IF(ISBLANK(invoer_woningen!E16)=TRUE,"",E16*30*invoer_woningen!$E16)</f>
        <v/>
      </c>
      <c r="G16" s="35" t="str">
        <f>IF(Z16&lt;1,"",30*((invoer_woningen!N16*kengetallen_woningen!$I$3)+((invoer_woningen!P16-invoer_woningen!Q16)*kengetallen_woningen!$I$4)+invoer_woningen!O16)*invoer_woningen!$E16)</f>
        <v/>
      </c>
      <c r="H16" s="23" t="str">
        <f>IF(ISBLANK(invoer_woningen!E16)=TRUE,"",(SUMIF(invoer_aanpakken!A$3:A$508,invoer_woningen!M16, invoer_aanpakken!G$3:G$508))/1000)</f>
        <v/>
      </c>
      <c r="I16" s="23" t="str">
        <f>IF(ISBLANK(invoer_woningen!E16)=TRUE,"",(SUMIF(invoer_aanpakken!A$3:A$508,invoer_woningen!M16, invoer_aanpakken!F$3:F$508))/1000)</f>
        <v/>
      </c>
      <c r="J16" s="19" t="str">
        <f t="shared" si="1"/>
        <v/>
      </c>
      <c r="K16" s="30" t="str">
        <f t="shared" si="2"/>
        <v/>
      </c>
      <c r="L16" s="30" t="str">
        <f>IF(ISBLANK(invoer_woningen!E16)=TRUE,"",C16-F16)</f>
        <v/>
      </c>
      <c r="M16" s="70" t="str">
        <f>IF(ISBLANK(invoer_woningen!E16)=TRUE,"",(H16-I16))</f>
        <v/>
      </c>
      <c r="N16" s="30" t="str">
        <f>IF(ISBLANK(invoer_woningen!E16)=TRUE,"",M16*invoer_woningen!$E16)</f>
        <v/>
      </c>
      <c r="O16" s="19" t="str">
        <f>IF(ISBLANK(invoer_woningen!E16)=TRUE,"",(C16+(H16*invoer_woningen!E16)-F16-(I16*invoer_woningen!E16))/(C16+(H16*invoer_woningen!E16)))</f>
        <v/>
      </c>
      <c r="P16" s="18" t="str">
        <f>IF(ISBLANK(invoer_woningen!E16)=TRUE,"",IF(O16&lt;0.5,0,MIN(15000,((L16/invoer_woningen!E16)+M16)*120)))</f>
        <v/>
      </c>
      <c r="Q16" s="18" t="str">
        <f>IF(ISBLANK(invoer_woningen!E16)=TRUE,"",P16*invoer_woningen!E16)</f>
        <v/>
      </c>
      <c r="S16" s="38" t="str">
        <f>IF(Z16&lt;1,"",invoer_woningen!R16)</f>
        <v/>
      </c>
      <c r="T16" s="38" t="str">
        <f>IF(ISBLANK(invoer_woningen!E16)=TRUE,"",(K16/1000)*((VLOOKUP(_xlfn.CONCAT(invoer_woningen!B16," ",invoer_woningen!C16," ",invoer_woningen!D16),kengetallen_woningen!H$25:K$264,4,FALSE))-invoer_woningen!E16))</f>
        <v/>
      </c>
      <c r="V16" s="123" t="str">
        <f>IF(ISERR(kengetallen_energielasten!G34)=TRUE,"",kengetallen_energielasten!G34)</f>
        <v/>
      </c>
      <c r="W16" s="123" t="str">
        <f>IF(ISBLANK(invoer_woningen!E16)=TRUE,"",IF(ISERR(kengetallen_energielasten!I73)=TRUE,"nnb",kengetallen_energielasten!I73))</f>
        <v/>
      </c>
      <c r="X16" s="123" t="str">
        <f>IF(ISBLANK(invoer_woningen!E16)=TRUE,"",IF(W16=0,"nnb",W16-V16))</f>
        <v/>
      </c>
      <c r="Y16" s="121" t="str">
        <f>IF(ISBLANK(invoer_woningen!E16)=TRUE,"",IF(X16="nnb","nnb",(W16-V16)/V16))</f>
        <v/>
      </c>
      <c r="Z16" s="2">
        <f>IF(O16&gt;=0.5,invoer_woningen!E16,0)</f>
        <v>0</v>
      </c>
      <c r="AA16" s="2">
        <f>IF(O16&gt;=0.5,invoer_woningen!F16,0)</f>
        <v>0</v>
      </c>
    </row>
    <row r="17" spans="1:27" x14ac:dyDescent="0.3">
      <c r="A17" s="1" t="str">
        <f>invoer_woningen!A17</f>
        <v>N</v>
      </c>
      <c r="B17" s="22" t="str">
        <f>IF(ISBLANK(invoer_woningen!E17)=TRUE,"",((invoer_woningen!J17*kengetallen_woningen!$C$3)+((invoer_woningen!K17-invoer_woningen!L17)*kengetallen_woningen!$C$4))/1000)</f>
        <v/>
      </c>
      <c r="C17" s="36" t="str">
        <f>IF(ISBLANK(invoer_woningen!E17)=TRUE,"",B17*30*invoer_woningen!$E17)</f>
        <v/>
      </c>
      <c r="D17" s="36" t="str">
        <f>IF(Z17&lt;1,"",30*((invoer_woningen!J17*kengetallen_woningen!$I$3)+((invoer_woningen!K17-invoer_woningen!L17)*kengetallen_woningen!$I$4)+invoer_woningen!O17)*invoer_woningen!$E17)</f>
        <v/>
      </c>
      <c r="E17" s="23" t="str">
        <f>IF(ISBLANK(invoer_woningen!E17)=TRUE,"",((invoer_woningen!N17*kengetallen_woningen!$C$3)+((invoer_woningen!P17-invoer_woningen!Q17)*kengetallen_woningen!$C$4)+(invoer_woningen!O17*kengetallen_woningen!$C$5))/1000)</f>
        <v/>
      </c>
      <c r="F17" s="35" t="str">
        <f>IF(ISBLANK(invoer_woningen!E17)=TRUE,"",E17*30*invoer_woningen!$E17)</f>
        <v/>
      </c>
      <c r="G17" s="35" t="str">
        <f>IF(Z17&lt;1,"",30*((invoer_woningen!N17*kengetallen_woningen!$I$3)+((invoer_woningen!P17-invoer_woningen!Q17)*kengetallen_woningen!$I$4)+invoer_woningen!O17)*invoer_woningen!$E17)</f>
        <v/>
      </c>
      <c r="H17" s="23" t="str">
        <f>IF(ISBLANK(invoer_woningen!E17)=TRUE,"",(SUMIF(invoer_aanpakken!A$3:A$508,invoer_woningen!M17, invoer_aanpakken!G$3:G$508))/1000)</f>
        <v/>
      </c>
      <c r="I17" s="23" t="str">
        <f>IF(ISBLANK(invoer_woningen!E17)=TRUE,"",(SUMIF(invoer_aanpakken!A$3:A$508,invoer_woningen!M17, invoer_aanpakken!F$3:F$508))/1000)</f>
        <v/>
      </c>
      <c r="J17" s="19" t="str">
        <f t="shared" si="1"/>
        <v/>
      </c>
      <c r="K17" s="30" t="str">
        <f t="shared" si="2"/>
        <v/>
      </c>
      <c r="L17" s="30" t="str">
        <f>IF(ISBLANK(invoer_woningen!E17)=TRUE,"",C17-F17)</f>
        <v/>
      </c>
      <c r="M17" s="70" t="str">
        <f>IF(ISBLANK(invoer_woningen!E17)=TRUE,"",(H17-I17))</f>
        <v/>
      </c>
      <c r="N17" s="30" t="str">
        <f>IF(ISBLANK(invoer_woningen!E17)=TRUE,"",M17*invoer_woningen!$E17)</f>
        <v/>
      </c>
      <c r="O17" s="19" t="str">
        <f>IF(ISBLANK(invoer_woningen!E17)=TRUE,"",(C17+(H17*invoer_woningen!E17)-F17-(I17*invoer_woningen!E17))/(C17+(H17*invoer_woningen!E17)))</f>
        <v/>
      </c>
      <c r="P17" s="18" t="str">
        <f>IF(ISBLANK(invoer_woningen!E17)=TRUE,"",IF(O17&lt;0.5,0,MIN(15000,((L17/invoer_woningen!E17)+M17)*120)))</f>
        <v/>
      </c>
      <c r="Q17" s="18" t="str">
        <f>IF(ISBLANK(invoer_woningen!E17)=TRUE,"",P17*invoer_woningen!E17)</f>
        <v/>
      </c>
      <c r="S17" s="38" t="str">
        <f>IF(Z17&lt;1,"",invoer_woningen!R17)</f>
        <v/>
      </c>
      <c r="T17" s="38" t="str">
        <f>IF(ISBLANK(invoer_woningen!E17)=TRUE,"",(K17/1000)*((VLOOKUP(_xlfn.CONCAT(invoer_woningen!B17," ",invoer_woningen!C17," ",invoer_woningen!D17),kengetallen_woningen!H$25:K$264,4,FALSE))-invoer_woningen!E17))</f>
        <v/>
      </c>
      <c r="V17" s="123" t="str">
        <f>IF(ISERR(kengetallen_energielasten!G35)=TRUE,"",kengetallen_energielasten!G35)</f>
        <v/>
      </c>
      <c r="W17" s="123" t="str">
        <f>IF(ISBLANK(invoer_woningen!E17)=TRUE,"",IF(ISERR(kengetallen_energielasten!I74)=TRUE,"nnb",kengetallen_energielasten!I74))</f>
        <v/>
      </c>
      <c r="X17" s="123" t="str">
        <f>IF(ISBLANK(invoer_woningen!E17)=TRUE,"",IF(W17=0,"nnb",W17-V17))</f>
        <v/>
      </c>
      <c r="Y17" s="121" t="str">
        <f>IF(ISBLANK(invoer_woningen!E17)=TRUE,"",IF(X17="nnb","nnb",(W17-V17)/V17))</f>
        <v/>
      </c>
      <c r="Z17" s="2">
        <f>IF(O17&gt;=0.5,invoer_woningen!E17,0)</f>
        <v>0</v>
      </c>
      <c r="AA17" s="2">
        <f>IF(O17&gt;=0.5,invoer_woningen!F17,0)</f>
        <v>0</v>
      </c>
    </row>
    <row r="18" spans="1:27" x14ac:dyDescent="0.3">
      <c r="A18" s="1" t="str">
        <f>invoer_woningen!A18</f>
        <v>O</v>
      </c>
      <c r="B18" s="22" t="str">
        <f>IF(ISBLANK(invoer_woningen!E18)=TRUE,"",((invoer_woningen!J18*kengetallen_woningen!$C$3)+((invoer_woningen!K18-invoer_woningen!L18)*kengetallen_woningen!$C$4))/1000)</f>
        <v/>
      </c>
      <c r="C18" s="36" t="str">
        <f>IF(ISBLANK(invoer_woningen!E18)=TRUE,"",B18*30*invoer_woningen!$E18)</f>
        <v/>
      </c>
      <c r="D18" s="36" t="str">
        <f>IF(Z18&lt;1,"",30*((invoer_woningen!J18*kengetallen_woningen!$I$3)+((invoer_woningen!K18-invoer_woningen!L18)*kengetallen_woningen!$I$4)+invoer_woningen!O18)*invoer_woningen!$E18)</f>
        <v/>
      </c>
      <c r="E18" s="23" t="str">
        <f>IF(ISBLANK(invoer_woningen!E18)=TRUE,"",((invoer_woningen!N18*kengetallen_woningen!$C$3)+((invoer_woningen!P18-invoer_woningen!Q18)*kengetallen_woningen!$C$4)+(invoer_woningen!O18*kengetallen_woningen!$C$5))/1000)</f>
        <v/>
      </c>
      <c r="F18" s="35" t="str">
        <f>IF(ISBLANK(invoer_woningen!E18)=TRUE,"",E18*30*invoer_woningen!$E18)</f>
        <v/>
      </c>
      <c r="G18" s="35" t="str">
        <f>IF(Z18&lt;1,"",30*((invoer_woningen!N18*kengetallen_woningen!$I$3)+((invoer_woningen!P18-invoer_woningen!Q18)*kengetallen_woningen!$I$4)+invoer_woningen!O18)*invoer_woningen!$E18)</f>
        <v/>
      </c>
      <c r="H18" s="23" t="str">
        <f>IF(ISBLANK(invoer_woningen!E18)=TRUE,"",(SUMIF(invoer_aanpakken!A$3:A$508,invoer_woningen!M18, invoer_aanpakken!G$3:G$508))/1000)</f>
        <v/>
      </c>
      <c r="I18" s="23" t="str">
        <f>IF(ISBLANK(invoer_woningen!E18)=TRUE,"",(SUMIF(invoer_aanpakken!A$3:A$508,invoer_woningen!M18, invoer_aanpakken!F$3:F$508))/1000)</f>
        <v/>
      </c>
      <c r="J18" s="19" t="str">
        <f t="shared" si="1"/>
        <v/>
      </c>
      <c r="K18" s="30" t="str">
        <f t="shared" si="2"/>
        <v/>
      </c>
      <c r="L18" s="30" t="str">
        <f>IF(ISBLANK(invoer_woningen!E18)=TRUE,"",C18-F18)</f>
        <v/>
      </c>
      <c r="M18" s="70" t="str">
        <f>IF(ISBLANK(invoer_woningen!E18)=TRUE,"",(H18-I18))</f>
        <v/>
      </c>
      <c r="N18" s="30" t="str">
        <f>IF(ISBLANK(invoer_woningen!E18)=TRUE,"",M18*invoer_woningen!$E18)</f>
        <v/>
      </c>
      <c r="O18" s="19" t="str">
        <f>IF(ISBLANK(invoer_woningen!E18)=TRUE,"",(C18+(H18*invoer_woningen!E18)-F18-(I18*invoer_woningen!E18))/(C18+(H18*invoer_woningen!E18)))</f>
        <v/>
      </c>
      <c r="P18" s="18" t="str">
        <f>IF(ISBLANK(invoer_woningen!E18)=TRUE,"",IF(O18&lt;0.5,0,MIN(15000,((L18/invoer_woningen!E18)+M18)*120)))</f>
        <v/>
      </c>
      <c r="Q18" s="18" t="str">
        <f>IF(ISBLANK(invoer_woningen!E18)=TRUE,"",P18*invoer_woningen!E18)</f>
        <v/>
      </c>
      <c r="S18" s="38" t="str">
        <f>IF(Z18&lt;1,"",invoer_woningen!R18)</f>
        <v/>
      </c>
      <c r="T18" s="38" t="str">
        <f>IF(ISBLANK(invoer_woningen!E18)=TRUE,"",(K18/1000)*((VLOOKUP(_xlfn.CONCAT(invoer_woningen!B18," ",invoer_woningen!C18," ",invoer_woningen!D18),kengetallen_woningen!H$25:K$264,4,FALSE))-invoer_woningen!E18))</f>
        <v/>
      </c>
      <c r="V18" s="123" t="str">
        <f>IF(ISERR(kengetallen_energielasten!G36)=TRUE,"",kengetallen_energielasten!G36)</f>
        <v/>
      </c>
      <c r="W18" s="123" t="str">
        <f>IF(ISBLANK(invoer_woningen!E18)=TRUE,"",IF(ISERR(kengetallen_energielasten!I75)=TRUE,"nnb",kengetallen_energielasten!I75))</f>
        <v/>
      </c>
      <c r="X18" s="123" t="str">
        <f>IF(ISBLANK(invoer_woningen!E18)=TRUE,"",IF(W18=0,"nnb",W18-V18))</f>
        <v/>
      </c>
      <c r="Y18" s="121" t="str">
        <f>IF(ISBLANK(invoer_woningen!E18)=TRUE,"",IF(X18="nnb","nnb",(W18-V18)/V18))</f>
        <v/>
      </c>
      <c r="Z18" s="2">
        <f>IF(O18&gt;=0.5,invoer_woningen!E18,0)</f>
        <v>0</v>
      </c>
      <c r="AA18" s="2">
        <f>IF(O18&gt;=0.5,invoer_woningen!F18,0)</f>
        <v>0</v>
      </c>
    </row>
    <row r="19" spans="1:27" x14ac:dyDescent="0.3">
      <c r="A19" s="1" t="str">
        <f>invoer_woningen!A19</f>
        <v>P</v>
      </c>
      <c r="B19" s="22" t="str">
        <f>IF(ISBLANK(invoer_woningen!E19)=TRUE,"",((invoer_woningen!J19*kengetallen_woningen!$C$3)+((invoer_woningen!K19-invoer_woningen!L19)*kengetallen_woningen!$C$4))/1000)</f>
        <v/>
      </c>
      <c r="C19" s="36" t="str">
        <f>IF(ISBLANK(invoer_woningen!E19)=TRUE,"",B19*30*invoer_woningen!$E19)</f>
        <v/>
      </c>
      <c r="D19" s="36" t="str">
        <f>IF(Z19&lt;1,"",30*((invoer_woningen!J19*kengetallen_woningen!$I$3)+((invoer_woningen!K19-invoer_woningen!L19)*kengetallen_woningen!$I$4)+invoer_woningen!O19)*invoer_woningen!$E19)</f>
        <v/>
      </c>
      <c r="E19" s="23" t="str">
        <f>IF(ISBLANK(invoer_woningen!E19)=TRUE,"",((invoer_woningen!N19*kengetallen_woningen!$C$3)+((invoer_woningen!P19-invoer_woningen!Q19)*kengetallen_woningen!$C$4)+(invoer_woningen!O19*kengetallen_woningen!$C$5))/1000)</f>
        <v/>
      </c>
      <c r="F19" s="35" t="str">
        <f>IF(ISBLANK(invoer_woningen!E19)=TRUE,"",E19*30*invoer_woningen!$E19)</f>
        <v/>
      </c>
      <c r="G19" s="35" t="str">
        <f>IF(Z19&lt;1,"",30*((invoer_woningen!N19*kengetallen_woningen!$I$3)+((invoer_woningen!P19-invoer_woningen!Q19)*kengetallen_woningen!$I$4)+invoer_woningen!O19)*invoer_woningen!$E19)</f>
        <v/>
      </c>
      <c r="H19" s="23" t="str">
        <f>IF(ISBLANK(invoer_woningen!E19)=TRUE,"",(SUMIF(invoer_aanpakken!A$3:A$508,invoer_woningen!M19, invoer_aanpakken!G$3:G$508))/1000)</f>
        <v/>
      </c>
      <c r="I19" s="23" t="str">
        <f>IF(ISBLANK(invoer_woningen!E19)=TRUE,"",(SUMIF(invoer_aanpakken!A$3:A$508,invoer_woningen!M19, invoer_aanpakken!F$3:F$508))/1000)</f>
        <v/>
      </c>
      <c r="J19" s="19" t="str">
        <f t="shared" si="1"/>
        <v/>
      </c>
      <c r="K19" s="30" t="str">
        <f t="shared" si="2"/>
        <v/>
      </c>
      <c r="L19" s="30" t="str">
        <f>IF(ISBLANK(invoer_woningen!E19)=TRUE,"",C19-F19)</f>
        <v/>
      </c>
      <c r="M19" s="70" t="str">
        <f>IF(ISBLANK(invoer_woningen!E19)=TRUE,"",(H19-I19))</f>
        <v/>
      </c>
      <c r="N19" s="30" t="str">
        <f>IF(ISBLANK(invoer_woningen!E19)=TRUE,"",M19*invoer_woningen!$E19)</f>
        <v/>
      </c>
      <c r="O19" s="19" t="str">
        <f>IF(ISBLANK(invoer_woningen!E19)=TRUE,"",(C19+(H19*invoer_woningen!E19)-F19-(I19*invoer_woningen!E19))/(C19+(H19*invoer_woningen!E19)))</f>
        <v/>
      </c>
      <c r="P19" s="18" t="str">
        <f>IF(ISBLANK(invoer_woningen!E19)=TRUE,"",IF(O19&lt;0.5,0,MIN(15000,((L19/invoer_woningen!E19)+M19)*120)))</f>
        <v/>
      </c>
      <c r="Q19" s="18" t="str">
        <f>IF(ISBLANK(invoer_woningen!E19)=TRUE,"",P19*invoer_woningen!E19)</f>
        <v/>
      </c>
      <c r="S19" s="38" t="str">
        <f>IF(Z19&lt;1,"",invoer_woningen!R19)</f>
        <v/>
      </c>
      <c r="T19" s="38" t="str">
        <f>IF(ISBLANK(invoer_woningen!E19)=TRUE,"",(K19/1000)*((VLOOKUP(_xlfn.CONCAT(invoer_woningen!B19," ",invoer_woningen!C19," ",invoer_woningen!D19),kengetallen_woningen!H$25:K$264,4,FALSE))-invoer_woningen!E19))</f>
        <v/>
      </c>
      <c r="V19" s="123" t="str">
        <f>IF(ISERR(kengetallen_energielasten!G37)=TRUE,"",kengetallen_energielasten!G37)</f>
        <v/>
      </c>
      <c r="W19" s="123" t="str">
        <f>IF(ISBLANK(invoer_woningen!E19)=TRUE,"",IF(ISERR(kengetallen_energielasten!I76)=TRUE,"nnb",kengetallen_energielasten!I76))</f>
        <v/>
      </c>
      <c r="X19" s="123" t="str">
        <f>IF(ISBLANK(invoer_woningen!E19)=TRUE,"",IF(W19=0,"nnb",W19-V19))</f>
        <v/>
      </c>
      <c r="Y19" s="121" t="str">
        <f>IF(ISBLANK(invoer_woningen!E19)=TRUE,"",IF(X19="nnb","nnb",(W19-V19)/V19))</f>
        <v/>
      </c>
      <c r="Z19" s="2">
        <f>IF(O19&gt;=0.5,invoer_woningen!E19,0)</f>
        <v>0</v>
      </c>
      <c r="AA19" s="2">
        <f>IF(O19&gt;=0.5,invoer_woningen!F19,0)</f>
        <v>0</v>
      </c>
    </row>
    <row r="20" spans="1:27" x14ac:dyDescent="0.3">
      <c r="A20" s="1" t="str">
        <f>invoer_woningen!A20</f>
        <v>Q</v>
      </c>
      <c r="B20" s="22" t="str">
        <f>IF(ISBLANK(invoer_woningen!E20)=TRUE,"",((invoer_woningen!J20*kengetallen_woningen!$C$3)+((invoer_woningen!K20-invoer_woningen!L20)*kengetallen_woningen!$C$4))/1000)</f>
        <v/>
      </c>
      <c r="C20" s="36" t="str">
        <f>IF(ISBLANK(invoer_woningen!E20)=TRUE,"",B20*30*invoer_woningen!$E20)</f>
        <v/>
      </c>
      <c r="D20" s="36" t="str">
        <f>IF(Z20&lt;1,"",30*((invoer_woningen!J20*kengetallen_woningen!$I$3)+((invoer_woningen!K20-invoer_woningen!L20)*kengetallen_woningen!$I$4)+invoer_woningen!O20)*invoer_woningen!$E20)</f>
        <v/>
      </c>
      <c r="E20" s="23" t="str">
        <f>IF(ISBLANK(invoer_woningen!E20)=TRUE,"",((invoer_woningen!N20*kengetallen_woningen!$C$3)+((invoer_woningen!P20-invoer_woningen!Q20)*kengetallen_woningen!$C$4)+(invoer_woningen!O20*kengetallen_woningen!$C$5))/1000)</f>
        <v/>
      </c>
      <c r="F20" s="35" t="str">
        <f>IF(ISBLANK(invoer_woningen!E20)=TRUE,"",E20*30*invoer_woningen!$E20)</f>
        <v/>
      </c>
      <c r="G20" s="35" t="str">
        <f>IF(Z20&lt;1,"",30*((invoer_woningen!N20*kengetallen_woningen!$I$3)+((invoer_woningen!P20-invoer_woningen!Q20)*kengetallen_woningen!$I$4)+invoer_woningen!O20)*invoer_woningen!$E20)</f>
        <v/>
      </c>
      <c r="H20" s="23" t="str">
        <f>IF(ISBLANK(invoer_woningen!E20)=TRUE,"",(SUMIF(invoer_aanpakken!A$3:A$508,invoer_woningen!M20, invoer_aanpakken!G$3:G$508))/1000)</f>
        <v/>
      </c>
      <c r="I20" s="23" t="str">
        <f>IF(ISBLANK(invoer_woningen!E20)=TRUE,"",(SUMIF(invoer_aanpakken!A$3:A$508,invoer_woningen!M20, invoer_aanpakken!F$3:F$508))/1000)</f>
        <v/>
      </c>
      <c r="J20" s="19" t="str">
        <f t="shared" si="1"/>
        <v/>
      </c>
      <c r="K20" s="30" t="str">
        <f t="shared" si="2"/>
        <v/>
      </c>
      <c r="L20" s="30" t="str">
        <f>IF(ISBLANK(invoer_woningen!E20)=TRUE,"",C20-F20)</f>
        <v/>
      </c>
      <c r="M20" s="70" t="str">
        <f>IF(ISBLANK(invoer_woningen!E20)=TRUE,"",(H20-I20))</f>
        <v/>
      </c>
      <c r="N20" s="30" t="str">
        <f>IF(ISBLANK(invoer_woningen!E20)=TRUE,"",M20*invoer_woningen!$E20)</f>
        <v/>
      </c>
      <c r="O20" s="19" t="str">
        <f>IF(ISBLANK(invoer_woningen!E20)=TRUE,"",(C20+(H20*invoer_woningen!E20)-F20-(I20*invoer_woningen!E20))/(C20+(H20*invoer_woningen!E20)))</f>
        <v/>
      </c>
      <c r="P20" s="18" t="str">
        <f>IF(ISBLANK(invoer_woningen!E20)=TRUE,"",IF(O20&lt;0.5,0,MIN(15000,((L20/invoer_woningen!E20)+M20)*120)))</f>
        <v/>
      </c>
      <c r="Q20" s="18" t="str">
        <f>IF(ISBLANK(invoer_woningen!E20)=TRUE,"",P20*invoer_woningen!E20)</f>
        <v/>
      </c>
      <c r="S20" s="38" t="str">
        <f>IF(Z20&lt;1,"",invoer_woningen!R20)</f>
        <v/>
      </c>
      <c r="T20" s="38" t="str">
        <f>IF(ISBLANK(invoer_woningen!E20)=TRUE,"",(K20/1000)*((VLOOKUP(_xlfn.CONCAT(invoer_woningen!B20," ",invoer_woningen!C20," ",invoer_woningen!D20),kengetallen_woningen!H$25:K$264,4,FALSE))-invoer_woningen!E20))</f>
        <v/>
      </c>
      <c r="V20" s="123" t="str">
        <f>IF(ISERR(kengetallen_energielasten!G38)=TRUE,"",kengetallen_energielasten!G38)</f>
        <v/>
      </c>
      <c r="W20" s="123" t="str">
        <f>IF(ISBLANK(invoer_woningen!E20)=TRUE,"",IF(ISERR(kengetallen_energielasten!I77)=TRUE,"nnb",kengetallen_energielasten!I77))</f>
        <v/>
      </c>
      <c r="X20" s="123" t="str">
        <f>IF(ISBLANK(invoer_woningen!E20)=TRUE,"",IF(W20=0,"nnb",W20-V20))</f>
        <v/>
      </c>
      <c r="Y20" s="121" t="str">
        <f>IF(ISBLANK(invoer_woningen!E20)=TRUE,"",IF(X20="nnb","nnb",(W20-V20)/V20))</f>
        <v/>
      </c>
      <c r="Z20" s="2">
        <f>IF(O20&gt;=0.5,invoer_woningen!E20,0)</f>
        <v>0</v>
      </c>
      <c r="AA20" s="2">
        <f>IF(O20&gt;=0.5,invoer_woningen!F20,0)</f>
        <v>0</v>
      </c>
    </row>
    <row r="21" spans="1:27" x14ac:dyDescent="0.3">
      <c r="A21" s="1" t="str">
        <f>invoer_woningen!A21</f>
        <v>R</v>
      </c>
      <c r="B21" s="22" t="str">
        <f>IF(ISBLANK(invoer_woningen!E21)=TRUE,"",((invoer_woningen!J21*kengetallen_woningen!$C$3)+((invoer_woningen!K21-invoer_woningen!L21)*kengetallen_woningen!$C$4))/1000)</f>
        <v/>
      </c>
      <c r="C21" s="36" t="str">
        <f>IF(ISBLANK(invoer_woningen!E21)=TRUE,"",B21*30*invoer_woningen!$E21)</f>
        <v/>
      </c>
      <c r="D21" s="36" t="str">
        <f>IF(Z21&lt;1,"",30*((invoer_woningen!J21*kengetallen_woningen!$I$3)+((invoer_woningen!K21-invoer_woningen!L21)*kengetallen_woningen!$I$4)+invoer_woningen!O21)*invoer_woningen!$E21)</f>
        <v/>
      </c>
      <c r="E21" s="23" t="str">
        <f>IF(ISBLANK(invoer_woningen!E21)=TRUE,"",((invoer_woningen!N21*kengetallen_woningen!$C$3)+((invoer_woningen!P21-invoer_woningen!Q21)*kengetallen_woningen!$C$4)+(invoer_woningen!O21*kengetallen_woningen!$C$5))/1000)</f>
        <v/>
      </c>
      <c r="F21" s="35" t="str">
        <f>IF(ISBLANK(invoer_woningen!E21)=TRUE,"",E21*30*invoer_woningen!$E21)</f>
        <v/>
      </c>
      <c r="G21" s="35" t="str">
        <f>IF(Z21&lt;1,"",30*((invoer_woningen!N21*kengetallen_woningen!$I$3)+((invoer_woningen!P21-invoer_woningen!Q21)*kengetallen_woningen!$I$4)+invoer_woningen!O21)*invoer_woningen!$E21)</f>
        <v/>
      </c>
      <c r="H21" s="23" t="str">
        <f>IF(ISBLANK(invoer_woningen!E21)=TRUE,"",(SUMIF(invoer_aanpakken!A$3:A$508,invoer_woningen!M21, invoer_aanpakken!G$3:G$508))/1000)</f>
        <v/>
      </c>
      <c r="I21" s="23" t="str">
        <f>IF(ISBLANK(invoer_woningen!E21)=TRUE,"",(SUMIF(invoer_aanpakken!A$3:A$508,invoer_woningen!M21, invoer_aanpakken!F$3:F$508))/1000)</f>
        <v/>
      </c>
      <c r="J21" s="19" t="str">
        <f t="shared" si="1"/>
        <v/>
      </c>
      <c r="K21" s="30" t="str">
        <f t="shared" si="2"/>
        <v/>
      </c>
      <c r="L21" s="30" t="str">
        <f>IF(ISBLANK(invoer_woningen!E21)=TRUE,"",C21-F21)</f>
        <v/>
      </c>
      <c r="M21" s="70" t="str">
        <f>IF(ISBLANK(invoer_woningen!E21)=TRUE,"",(H21-I21))</f>
        <v/>
      </c>
      <c r="N21" s="30" t="str">
        <f>IF(ISBLANK(invoer_woningen!E21)=TRUE,"",M21*invoer_woningen!$E21)</f>
        <v/>
      </c>
      <c r="O21" s="19" t="str">
        <f>IF(ISBLANK(invoer_woningen!E21)=TRUE,"",(C21+(H21*invoer_woningen!E21)-F21-(I21*invoer_woningen!E21))/(C21+(H21*invoer_woningen!E21)))</f>
        <v/>
      </c>
      <c r="P21" s="18" t="str">
        <f>IF(ISBLANK(invoer_woningen!E21)=TRUE,"",IF(O21&lt;0.5,0,MIN(15000,((L21/invoer_woningen!E21)+M21)*120)))</f>
        <v/>
      </c>
      <c r="Q21" s="18" t="str">
        <f>IF(ISBLANK(invoer_woningen!E21)=TRUE,"",P21*invoer_woningen!E21)</f>
        <v/>
      </c>
      <c r="S21" s="38" t="str">
        <f>IF(Z21&lt;1,"",invoer_woningen!R21)</f>
        <v/>
      </c>
      <c r="T21" s="38" t="str">
        <f>IF(ISBLANK(invoer_woningen!E21)=TRUE,"",(K21/1000)*((VLOOKUP(_xlfn.CONCAT(invoer_woningen!B21," ",invoer_woningen!C21," ",invoer_woningen!D21),kengetallen_woningen!H$25:K$264,4,FALSE))-invoer_woningen!E21))</f>
        <v/>
      </c>
      <c r="V21" s="123" t="str">
        <f>IF(ISERR(kengetallen_energielasten!G39)=TRUE,"",kengetallen_energielasten!G39)</f>
        <v/>
      </c>
      <c r="W21" s="123" t="str">
        <f>IF(ISBLANK(invoer_woningen!E21)=TRUE,"",IF(ISERR(kengetallen_energielasten!I78)=TRUE,"nnb",kengetallen_energielasten!I78))</f>
        <v/>
      </c>
      <c r="X21" s="123" t="str">
        <f>IF(ISBLANK(invoer_woningen!E21)=TRUE,"",IF(W21=0,"nnb",W21-V21))</f>
        <v/>
      </c>
      <c r="Y21" s="121" t="str">
        <f>IF(ISBLANK(invoer_woningen!E21)=TRUE,"",IF(X21="nnb","nnb",(W21-V21)/V21))</f>
        <v/>
      </c>
      <c r="Z21" s="2">
        <f>IF(O21&gt;=0.5,invoer_woningen!E21,0)</f>
        <v>0</v>
      </c>
      <c r="AA21" s="2">
        <f>IF(O21&gt;=0.5,invoer_woningen!F21,0)</f>
        <v>0</v>
      </c>
    </row>
    <row r="22" spans="1:27" x14ac:dyDescent="0.3">
      <c r="A22" s="1" t="str">
        <f>invoer_woningen!A22</f>
        <v>S</v>
      </c>
      <c r="B22" s="22" t="str">
        <f>IF(ISBLANK(invoer_woningen!E22)=TRUE,"",((invoer_woningen!J22*kengetallen_woningen!$C$3)+((invoer_woningen!K22-invoer_woningen!L22)*kengetallen_woningen!$C$4))/1000)</f>
        <v/>
      </c>
      <c r="C22" s="36" t="str">
        <f>IF(ISBLANK(invoer_woningen!E22)=TRUE,"",B22*30*invoer_woningen!$E22)</f>
        <v/>
      </c>
      <c r="D22" s="36" t="str">
        <f>IF(Z22&lt;1,"",30*((invoer_woningen!J22*kengetallen_woningen!$I$3)+((invoer_woningen!K22-invoer_woningen!L22)*kengetallen_woningen!$I$4)+invoer_woningen!O22)*invoer_woningen!$E22)</f>
        <v/>
      </c>
      <c r="E22" s="23" t="str">
        <f>IF(ISBLANK(invoer_woningen!E22)=TRUE,"",((invoer_woningen!N22*kengetallen_woningen!$C$3)+((invoer_woningen!P22-invoer_woningen!Q22)*kengetallen_woningen!$C$4)+(invoer_woningen!O22*kengetallen_woningen!$C$5))/1000)</f>
        <v/>
      </c>
      <c r="F22" s="35" t="str">
        <f>IF(ISBLANK(invoer_woningen!E22)=TRUE,"",E22*30*invoer_woningen!$E22)</f>
        <v/>
      </c>
      <c r="G22" s="35" t="str">
        <f>IF(Z22&lt;1,"",30*((invoer_woningen!N22*kengetallen_woningen!$I$3)+((invoer_woningen!P22-invoer_woningen!Q22)*kengetallen_woningen!$I$4)+invoer_woningen!O22)*invoer_woningen!$E22)</f>
        <v/>
      </c>
      <c r="H22" s="23" t="str">
        <f>IF(ISBLANK(invoer_woningen!E22)=TRUE,"",(SUMIF(invoer_aanpakken!A$3:A$508,invoer_woningen!M22, invoer_aanpakken!G$3:G$508))/1000)</f>
        <v/>
      </c>
      <c r="I22" s="23" t="str">
        <f>IF(ISBLANK(invoer_woningen!E22)=TRUE,"",(SUMIF(invoer_aanpakken!A$3:A$508,invoer_woningen!M22, invoer_aanpakken!F$3:F$508))/1000)</f>
        <v/>
      </c>
      <c r="J22" s="19" t="str">
        <f t="shared" si="1"/>
        <v/>
      </c>
      <c r="K22" s="30" t="str">
        <f t="shared" si="2"/>
        <v/>
      </c>
      <c r="L22" s="30" t="str">
        <f>IF(ISBLANK(invoer_woningen!E22)=TRUE,"",C22-F22)</f>
        <v/>
      </c>
      <c r="M22" s="70" t="str">
        <f>IF(ISBLANK(invoer_woningen!E22)=TRUE,"",(H22-I22))</f>
        <v/>
      </c>
      <c r="N22" s="30" t="str">
        <f>IF(ISBLANK(invoer_woningen!E22)=TRUE,"",M22*invoer_woningen!$E22)</f>
        <v/>
      </c>
      <c r="O22" s="19" t="str">
        <f>IF(ISBLANK(invoer_woningen!E22)=TRUE,"",(C22+(H22*invoer_woningen!E22)-F22-(I22*invoer_woningen!E22))/(C22+(H22*invoer_woningen!E22)))</f>
        <v/>
      </c>
      <c r="P22" s="18" t="str">
        <f>IF(ISBLANK(invoer_woningen!E22)=TRUE,"",IF(O22&lt;0.5,0,MIN(15000,((L22/invoer_woningen!E22)+M22)*120)))</f>
        <v/>
      </c>
      <c r="Q22" s="18" t="str">
        <f>IF(ISBLANK(invoer_woningen!E22)=TRUE,"",P22*invoer_woningen!E22)</f>
        <v/>
      </c>
      <c r="S22" s="38" t="str">
        <f>IF(Z22&lt;1,"",invoer_woningen!R22)</f>
        <v/>
      </c>
      <c r="T22" s="38" t="str">
        <f>IF(ISBLANK(invoer_woningen!E22)=TRUE,"",(K22/1000)*((VLOOKUP(_xlfn.CONCAT(invoer_woningen!B22," ",invoer_woningen!C22," ",invoer_woningen!D22),kengetallen_woningen!H$25:K$264,4,FALSE))-invoer_woningen!E22))</f>
        <v/>
      </c>
      <c r="V22" s="123" t="str">
        <f>IF(ISERR(kengetallen_energielasten!G40)=TRUE,"",kengetallen_energielasten!G40)</f>
        <v/>
      </c>
      <c r="W22" s="123" t="str">
        <f>IF(ISBLANK(invoer_woningen!E22)=TRUE,"",IF(ISERR(kengetallen_energielasten!I79)=TRUE,"nnb",kengetallen_energielasten!I79))</f>
        <v/>
      </c>
      <c r="X22" s="123" t="str">
        <f>IF(ISBLANK(invoer_woningen!E22)=TRUE,"",IF(W22=0,"nnb",W22-V22))</f>
        <v/>
      </c>
      <c r="Y22" s="121" t="str">
        <f>IF(ISBLANK(invoer_woningen!E22)=TRUE,"",IF(X22="nnb","nnb",(W22-V22)/V22))</f>
        <v/>
      </c>
      <c r="Z22" s="2">
        <f>IF(O22&gt;=0.5,invoer_woningen!E22,0)</f>
        <v>0</v>
      </c>
      <c r="AA22" s="2">
        <f>IF(O22&gt;=0.5,invoer_woningen!F22,0)</f>
        <v>0</v>
      </c>
    </row>
    <row r="23" spans="1:27" x14ac:dyDescent="0.3">
      <c r="A23" s="1" t="str">
        <f>invoer_woningen!A23</f>
        <v>T</v>
      </c>
      <c r="B23" s="22" t="str">
        <f>IF(ISBLANK(invoer_woningen!E23)=TRUE,"",((invoer_woningen!J23*kengetallen_woningen!$C$3)+((invoer_woningen!K23-invoer_woningen!L23)*kengetallen_woningen!$C$4))/1000)</f>
        <v/>
      </c>
      <c r="C23" s="36" t="str">
        <f>IF(ISBLANK(invoer_woningen!E23)=TRUE,"",B23*30*invoer_woningen!$E23)</f>
        <v/>
      </c>
      <c r="D23" s="36" t="str">
        <f>IF(Z23&lt;1,"",30*((invoer_woningen!J23*kengetallen_woningen!$I$3)+((invoer_woningen!K23-invoer_woningen!L23)*kengetallen_woningen!$I$4)+invoer_woningen!O23)*invoer_woningen!$E23)</f>
        <v/>
      </c>
      <c r="E23" s="23" t="str">
        <f>IF(ISBLANK(invoer_woningen!E23)=TRUE,"",((invoer_woningen!N23*kengetallen_woningen!$C$3)+((invoer_woningen!P23-invoer_woningen!Q23)*kengetallen_woningen!$C$4)+(invoer_woningen!O23*kengetallen_woningen!$C$5))/1000)</f>
        <v/>
      </c>
      <c r="F23" s="35" t="str">
        <f>IF(ISBLANK(invoer_woningen!E23)=TRUE,"",E23*30*invoer_woningen!$E23)</f>
        <v/>
      </c>
      <c r="G23" s="35" t="str">
        <f>IF(Z23&lt;1,"",30*((invoer_woningen!N23*kengetallen_woningen!$I$3)+((invoer_woningen!P23-invoer_woningen!Q23)*kengetallen_woningen!$I$4)+invoer_woningen!O23)*invoer_woningen!$E23)</f>
        <v/>
      </c>
      <c r="H23" s="23" t="str">
        <f>IF(ISBLANK(invoer_woningen!E23)=TRUE,"",(SUMIF(invoer_aanpakken!A$3:A$508,invoer_woningen!M23, invoer_aanpakken!G$3:G$508))/1000)</f>
        <v/>
      </c>
      <c r="I23" s="23" t="str">
        <f>IF(ISBLANK(invoer_woningen!E23)=TRUE,"",(SUMIF(invoer_aanpakken!A$3:A$508,invoer_woningen!M23, invoer_aanpakken!F$3:F$508))/1000)</f>
        <v/>
      </c>
      <c r="J23" s="19" t="str">
        <f t="shared" si="1"/>
        <v/>
      </c>
      <c r="K23" s="30" t="str">
        <f t="shared" si="2"/>
        <v/>
      </c>
      <c r="L23" s="30" t="str">
        <f>IF(ISBLANK(invoer_woningen!E23)=TRUE,"",C23-F23)</f>
        <v/>
      </c>
      <c r="M23" s="70" t="str">
        <f>IF(ISBLANK(invoer_woningen!E23)=TRUE,"",(H23-I23))</f>
        <v/>
      </c>
      <c r="N23" s="30" t="str">
        <f>IF(ISBLANK(invoer_woningen!E23)=TRUE,"",M23*invoer_woningen!$E23)</f>
        <v/>
      </c>
      <c r="O23" s="19" t="str">
        <f>IF(ISBLANK(invoer_woningen!E23)=TRUE,"",(C23+(H23*invoer_woningen!E23)-F23-(I23*invoer_woningen!E23))/(C23+(H23*invoer_woningen!E23)))</f>
        <v/>
      </c>
      <c r="P23" s="18" t="str">
        <f>IF(ISBLANK(invoer_woningen!E23)=TRUE,"",IF(O23&lt;0.5,0,MIN(15000,((L23/invoer_woningen!E23)+M23)*120)))</f>
        <v/>
      </c>
      <c r="Q23" s="18" t="str">
        <f>IF(ISBLANK(invoer_woningen!E23)=TRUE,"",P23*invoer_woningen!E23)</f>
        <v/>
      </c>
      <c r="S23" s="38" t="str">
        <f>IF(Z23&lt;1,"",invoer_woningen!R23)</f>
        <v/>
      </c>
      <c r="T23" s="38" t="str">
        <f>IF(ISBLANK(invoer_woningen!E23)=TRUE,"",(K23/1000)*((VLOOKUP(_xlfn.CONCAT(invoer_woningen!B23," ",invoer_woningen!C23," ",invoer_woningen!D23),kengetallen_woningen!H$25:K$264,4,FALSE))-invoer_woningen!E23))</f>
        <v/>
      </c>
      <c r="V23" s="123" t="str">
        <f>IF(ISERR(kengetallen_energielasten!G41)=TRUE,"",kengetallen_energielasten!G41)</f>
        <v/>
      </c>
      <c r="W23" s="123" t="str">
        <f>IF(ISBLANK(invoer_woningen!E23)=TRUE,"",IF(ISERR(kengetallen_energielasten!I80)=TRUE,"nnb",kengetallen_energielasten!I80))</f>
        <v/>
      </c>
      <c r="X23" s="123" t="str">
        <f>IF(ISBLANK(invoer_woningen!E23)=TRUE,"",IF(W23=0,"nnb",W23-V23))</f>
        <v/>
      </c>
      <c r="Y23" s="121" t="str">
        <f>IF(ISBLANK(invoer_woningen!E23)=TRUE,"",IF(X23="nnb","nnb",(W23-V23)/V23))</f>
        <v/>
      </c>
      <c r="Z23" s="2">
        <f>IF(O23&gt;=0.5,invoer_woningen!E23,0)</f>
        <v>0</v>
      </c>
      <c r="AA23" s="2">
        <f>IF(O23&gt;=0.5,invoer_woningen!F23,0)</f>
        <v>0</v>
      </c>
    </row>
    <row r="24" spans="1:27" outlineLevel="1" x14ac:dyDescent="0.3">
      <c r="A24" s="1" t="str">
        <f>invoer_woningen!A24</f>
        <v>U</v>
      </c>
      <c r="B24" s="22" t="str">
        <f>IF(ISBLANK(invoer_woningen!E24)=TRUE,"",((invoer_woningen!J24*kengetallen_woningen!$C$3)+((invoer_woningen!K24-invoer_woningen!L24)*kengetallen_woningen!$C$4))/1000)</f>
        <v/>
      </c>
      <c r="C24" s="36" t="str">
        <f>IF(ISBLANK(invoer_woningen!E24)=TRUE,"",B24*30*invoer_woningen!$E24)</f>
        <v/>
      </c>
      <c r="D24" s="36" t="str">
        <f>IF(Z24&lt;1,"",30*((invoer_woningen!J24*kengetallen_woningen!$I$3)+((invoer_woningen!K24-invoer_woningen!L24)*kengetallen_woningen!$I$4)+invoer_woningen!O24)*invoer_woningen!$E24)</f>
        <v/>
      </c>
      <c r="E24" s="23" t="str">
        <f>IF(ISBLANK(invoer_woningen!E24)=TRUE,"",((invoer_woningen!N24*kengetallen_woningen!$C$3)+((invoer_woningen!P24-invoer_woningen!Q24)*kengetallen_woningen!$C$4)+(invoer_woningen!O24*kengetallen_woningen!$C$5))/1000)</f>
        <v/>
      </c>
      <c r="F24" s="35" t="str">
        <f>IF(ISBLANK(invoer_woningen!E24)=TRUE,"",E24*30*invoer_woningen!$E24)</f>
        <v/>
      </c>
      <c r="G24" s="35" t="str">
        <f>IF(Z24&lt;1,"",30*((invoer_woningen!N24*kengetallen_woningen!$I$3)+((invoer_woningen!P24-invoer_woningen!Q24)*kengetallen_woningen!$I$4)+invoer_woningen!O24)*invoer_woningen!$E24)</f>
        <v/>
      </c>
      <c r="H24" s="23" t="str">
        <f>IF(ISBLANK(invoer_woningen!E24)=TRUE,"",(SUMIF(invoer_aanpakken!A$3:A$508,invoer_woningen!M24, invoer_aanpakken!G$3:G$508))/1000)</f>
        <v/>
      </c>
      <c r="I24" s="23" t="str">
        <f>IF(ISBLANK(invoer_woningen!E24)=TRUE,"",(SUMIF(invoer_aanpakken!A$3:A$508,invoer_woningen!M24, invoer_aanpakken!F$3:F$508))/1000)</f>
        <v/>
      </c>
      <c r="J24" s="19" t="str">
        <f t="shared" si="1"/>
        <v/>
      </c>
      <c r="K24" s="30" t="str">
        <f t="shared" si="2"/>
        <v/>
      </c>
      <c r="L24" s="30" t="str">
        <f>IF(ISBLANK(invoer_woningen!E24)=TRUE,"",C24-F24)</f>
        <v/>
      </c>
      <c r="M24" s="70" t="str">
        <f>IF(ISBLANK(invoer_woningen!E24)=TRUE,"",(H24-I24))</f>
        <v/>
      </c>
      <c r="N24" s="30" t="str">
        <f>IF(ISBLANK(invoer_woningen!E24)=TRUE,"",M24*invoer_woningen!$E24)</f>
        <v/>
      </c>
      <c r="O24" s="19" t="str">
        <f>IF(ISBLANK(invoer_woningen!E24)=TRUE,"",(C24+(H24*invoer_woningen!E24)-F24-(I24*invoer_woningen!E24))/(C24+(H24*invoer_woningen!E24)))</f>
        <v/>
      </c>
      <c r="P24" s="18" t="str">
        <f>IF(ISBLANK(invoer_woningen!E24)=TRUE,"",IF(O24&lt;0.5,0,MIN(15000,((L24/invoer_woningen!E24)+M24)*120)))</f>
        <v/>
      </c>
      <c r="Q24" s="18" t="str">
        <f>IF(ISBLANK(invoer_woningen!E24)=TRUE,"",P24*invoer_woningen!E24)</f>
        <v/>
      </c>
      <c r="S24" s="38" t="str">
        <f>IF(Z24&lt;1,"",invoer_woningen!R24)</f>
        <v/>
      </c>
      <c r="T24" s="38" t="str">
        <f>IF(ISBLANK(invoer_woningen!E24)=TRUE,"",(K24/1000)*((VLOOKUP(_xlfn.CONCAT(invoer_woningen!B24," ",invoer_woningen!C24," ",invoer_woningen!D24),kengetallen_woningen!H$25:K$264,4,FALSE))-invoer_woningen!E24))</f>
        <v/>
      </c>
      <c r="V24" s="123" t="str">
        <f>IF(ISERR(kengetallen_energielasten!G42)=TRUE,"",kengetallen_energielasten!G42)</f>
        <v/>
      </c>
      <c r="W24" s="123" t="str">
        <f>IF(ISBLANK(invoer_woningen!E24)=TRUE,"",IF(ISERR(kengetallen_energielasten!I81)=TRUE,"nnb",kengetallen_energielasten!I81))</f>
        <v/>
      </c>
      <c r="X24" s="123" t="str">
        <f>IF(ISBLANK(invoer_woningen!E24)=TRUE,"",IF(W24=0,"nnb",W24-V24))</f>
        <v/>
      </c>
      <c r="Y24" s="121" t="str">
        <f>IF(ISBLANK(invoer_woningen!E24)=TRUE,"",IF(X24="nnb","nnb",(W24-V24)/V24))</f>
        <v/>
      </c>
      <c r="Z24" s="2">
        <f>IF(O24&gt;=0.5,invoer_woningen!E24,0)</f>
        <v>0</v>
      </c>
      <c r="AA24" s="2">
        <f>IF(O24&gt;=0.5,invoer_woningen!F24,0)</f>
        <v>0</v>
      </c>
    </row>
    <row r="25" spans="1:27" outlineLevel="1" x14ac:dyDescent="0.3">
      <c r="A25" s="1" t="str">
        <f>invoer_woningen!A25</f>
        <v>V</v>
      </c>
      <c r="B25" s="22" t="str">
        <f>IF(ISBLANK(invoer_woningen!E25)=TRUE,"",((invoer_woningen!J25*kengetallen_woningen!$C$3)+((invoer_woningen!K25-invoer_woningen!L25)*kengetallen_woningen!$C$4))/1000)</f>
        <v/>
      </c>
      <c r="C25" s="36" t="str">
        <f>IF(ISBLANK(invoer_woningen!E25)=TRUE,"",B25*30*invoer_woningen!$E25)</f>
        <v/>
      </c>
      <c r="D25" s="36" t="str">
        <f>IF(Z25&lt;1,"",30*((invoer_woningen!J25*kengetallen_woningen!$I$3)+((invoer_woningen!K25-invoer_woningen!L25)*kengetallen_woningen!$I$4)+invoer_woningen!O25)*invoer_woningen!$E25)</f>
        <v/>
      </c>
      <c r="E25" s="23" t="str">
        <f>IF(ISBLANK(invoer_woningen!E25)=TRUE,"",((invoer_woningen!N25*kengetallen_woningen!$C$3)+((invoer_woningen!P25-invoer_woningen!Q25)*kengetallen_woningen!$C$4)+(invoer_woningen!O25*kengetallen_woningen!$C$5))/1000)</f>
        <v/>
      </c>
      <c r="F25" s="35" t="str">
        <f>IF(ISBLANK(invoer_woningen!E25)=TRUE,"",E25*30*invoer_woningen!$E25)</f>
        <v/>
      </c>
      <c r="G25" s="35" t="str">
        <f>IF(Z25&lt;1,"",30*((invoer_woningen!N25*kengetallen_woningen!$I$3)+((invoer_woningen!P25-invoer_woningen!Q25)*kengetallen_woningen!$I$4)+invoer_woningen!O25)*invoer_woningen!$E25)</f>
        <v/>
      </c>
      <c r="H25" s="23" t="str">
        <f>IF(ISBLANK(invoer_woningen!E25)=TRUE,"",(SUMIF(invoer_aanpakken!A$3:A$508,invoer_woningen!M25, invoer_aanpakken!G$3:G$508))/1000)</f>
        <v/>
      </c>
      <c r="I25" s="23" t="str">
        <f>IF(ISBLANK(invoer_woningen!E25)=TRUE,"",(SUMIF(invoer_aanpakken!A$3:A$508,invoer_woningen!M25, invoer_aanpakken!F$3:F$508))/1000)</f>
        <v/>
      </c>
      <c r="J25" s="19" t="str">
        <f t="shared" si="1"/>
        <v/>
      </c>
      <c r="K25" s="30" t="str">
        <f t="shared" si="2"/>
        <v/>
      </c>
      <c r="L25" s="30" t="str">
        <f>IF(ISBLANK(invoer_woningen!E25)=TRUE,"",C25-F25)</f>
        <v/>
      </c>
      <c r="M25" s="70" t="str">
        <f>IF(ISBLANK(invoer_woningen!E25)=TRUE,"",(H25-I25))</f>
        <v/>
      </c>
      <c r="N25" s="30" t="str">
        <f>IF(ISBLANK(invoer_woningen!E25)=TRUE,"",M25*invoer_woningen!$E25)</f>
        <v/>
      </c>
      <c r="O25" s="19" t="str">
        <f>IF(ISBLANK(invoer_woningen!E25)=TRUE,"",(C25+(H25*invoer_woningen!E25)-F25-(I25*invoer_woningen!E25))/(C25+(H25*invoer_woningen!E25)))</f>
        <v/>
      </c>
      <c r="P25" s="18" t="str">
        <f>IF(ISBLANK(invoer_woningen!E25)=TRUE,"",IF(O25&lt;0.5,0,MIN(15000,((L25/invoer_woningen!E25)+M25)*120)))</f>
        <v/>
      </c>
      <c r="Q25" s="18" t="str">
        <f>IF(ISBLANK(invoer_woningen!E25)=TRUE,"",P25*invoer_woningen!E25)</f>
        <v/>
      </c>
      <c r="S25" s="38" t="str">
        <f>IF(Z25&lt;1,"",invoer_woningen!R25)</f>
        <v/>
      </c>
      <c r="T25" s="38" t="str">
        <f>IF(ISBLANK(invoer_woningen!E25)=TRUE,"",(K25/1000)*((VLOOKUP(_xlfn.CONCAT(invoer_woningen!B25," ",invoer_woningen!C25," ",invoer_woningen!D25),kengetallen_woningen!H$25:K$264,4,FALSE))-invoer_woningen!E25))</f>
        <v/>
      </c>
      <c r="V25" s="123" t="str">
        <f>IF(ISERR(kengetallen_energielasten!G43)=TRUE,"",kengetallen_energielasten!G43)</f>
        <v/>
      </c>
      <c r="W25" s="123" t="str">
        <f>IF(ISBLANK(invoer_woningen!E25)=TRUE,"",IF(ISERR(kengetallen_energielasten!I82)=TRUE,"nnb",kengetallen_energielasten!I82))</f>
        <v/>
      </c>
      <c r="X25" s="123" t="str">
        <f>IF(ISBLANK(invoer_woningen!E25)=TRUE,"",IF(W25=0,"nnb",W25-V25))</f>
        <v/>
      </c>
      <c r="Y25" s="121" t="str">
        <f>IF(ISBLANK(invoer_woningen!E25)=TRUE,"",IF(X25="nnb","nnb",(W25-V25)/V25))</f>
        <v/>
      </c>
      <c r="Z25" s="2">
        <f>IF(O25&gt;=0.5,invoer_woningen!E25,0)</f>
        <v>0</v>
      </c>
      <c r="AA25" s="2">
        <f>IF(O25&gt;=0.5,invoer_woningen!F25,0)</f>
        <v>0</v>
      </c>
    </row>
    <row r="26" spans="1:27" outlineLevel="1" x14ac:dyDescent="0.3">
      <c r="A26" s="1" t="str">
        <f>invoer_woningen!A26</f>
        <v>W</v>
      </c>
      <c r="B26" s="22" t="str">
        <f>IF(ISBLANK(invoer_woningen!E26)=TRUE,"",((invoer_woningen!J26*kengetallen_woningen!$C$3)+((invoer_woningen!K26-invoer_woningen!L26)*kengetallen_woningen!$C$4))/1000)</f>
        <v/>
      </c>
      <c r="C26" s="36" t="str">
        <f>IF(ISBLANK(invoer_woningen!E26)=TRUE,"",B26*30*invoer_woningen!$E26)</f>
        <v/>
      </c>
      <c r="D26" s="36" t="str">
        <f>IF(Z26&lt;1,"",30*((invoer_woningen!J26*kengetallen_woningen!$I$3)+((invoer_woningen!K26-invoer_woningen!L26)*kengetallen_woningen!$I$4)+invoer_woningen!O26)*invoer_woningen!$E26)</f>
        <v/>
      </c>
      <c r="E26" s="23" t="str">
        <f>IF(ISBLANK(invoer_woningen!E26)=TRUE,"",((invoer_woningen!N26*kengetallen_woningen!$C$3)+((invoer_woningen!P26-invoer_woningen!Q26)*kengetallen_woningen!$C$4)+(invoer_woningen!O26*kengetallen_woningen!$C$5))/1000)</f>
        <v/>
      </c>
      <c r="F26" s="35" t="str">
        <f>IF(ISBLANK(invoer_woningen!E26)=TRUE,"",E26*30*invoer_woningen!$E26)</f>
        <v/>
      </c>
      <c r="G26" s="35" t="str">
        <f>IF(Z26&lt;1,"",30*((invoer_woningen!N26*kengetallen_woningen!$I$3)+((invoer_woningen!P26-invoer_woningen!Q26)*kengetallen_woningen!$I$4)+invoer_woningen!O26)*invoer_woningen!$E26)</f>
        <v/>
      </c>
      <c r="H26" s="23" t="str">
        <f>IF(ISBLANK(invoer_woningen!E26)=TRUE,"",(SUMIF(invoer_aanpakken!A$3:A$508,invoer_woningen!M26, invoer_aanpakken!G$3:G$508))/1000)</f>
        <v/>
      </c>
      <c r="I26" s="23" t="str">
        <f>IF(ISBLANK(invoer_woningen!E26)=TRUE,"",(SUMIF(invoer_aanpakken!A$3:A$508,invoer_woningen!M26, invoer_aanpakken!F$3:F$508))/1000)</f>
        <v/>
      </c>
      <c r="J26" s="19" t="str">
        <f t="shared" si="1"/>
        <v/>
      </c>
      <c r="K26" s="30" t="str">
        <f t="shared" si="2"/>
        <v/>
      </c>
      <c r="L26" s="30" t="str">
        <f>IF(ISBLANK(invoer_woningen!E26)=TRUE,"",C26-F26)</f>
        <v/>
      </c>
      <c r="M26" s="70" t="str">
        <f>IF(ISBLANK(invoer_woningen!E26)=TRUE,"",(H26-I26))</f>
        <v/>
      </c>
      <c r="N26" s="30" t="str">
        <f>IF(ISBLANK(invoer_woningen!E26)=TRUE,"",M26*invoer_woningen!$E26)</f>
        <v/>
      </c>
      <c r="O26" s="19" t="str">
        <f>IF(ISBLANK(invoer_woningen!E26)=TRUE,"",(C26+(H26*invoer_woningen!E26)-F26-(I26*invoer_woningen!E26))/(C26+(H26*invoer_woningen!E26)))</f>
        <v/>
      </c>
      <c r="P26" s="18" t="str">
        <f>IF(ISBLANK(invoer_woningen!E26)=TRUE,"",IF(O26&lt;0.5,0,MIN(15000,((L26/invoer_woningen!E26)+M26)*120)))</f>
        <v/>
      </c>
      <c r="Q26" s="18" t="str">
        <f>IF(ISBLANK(invoer_woningen!E26)=TRUE,"",P26*invoer_woningen!E26)</f>
        <v/>
      </c>
      <c r="S26" s="38" t="str">
        <f>IF(Z26&lt;1,"",invoer_woningen!R26)</f>
        <v/>
      </c>
      <c r="T26" s="38" t="str">
        <f>IF(ISBLANK(invoer_woningen!E26)=TRUE,"",(K26/1000)*((VLOOKUP(_xlfn.CONCAT(invoer_woningen!B26," ",invoer_woningen!C26," ",invoer_woningen!D26),kengetallen_woningen!H$25:K$264,4,FALSE))-invoer_woningen!E26))</f>
        <v/>
      </c>
      <c r="V26" s="123" t="str">
        <f>IF(ISERR(kengetallen_energielasten!G44)=TRUE,"",kengetallen_energielasten!G44)</f>
        <v/>
      </c>
      <c r="W26" s="123" t="str">
        <f>IF(ISBLANK(invoer_woningen!E26)=TRUE,"",IF(ISERR(kengetallen_energielasten!I83)=TRUE,"nnb",kengetallen_energielasten!I83))</f>
        <v/>
      </c>
      <c r="X26" s="123" t="str">
        <f>IF(ISBLANK(invoer_woningen!E26)=TRUE,"",IF(W26=0,"nnb",W26-V26))</f>
        <v/>
      </c>
      <c r="Y26" s="121" t="str">
        <f>IF(ISBLANK(invoer_woningen!E26)=TRUE,"",IF(X26="nnb","nnb",(W26-V26)/V26))</f>
        <v/>
      </c>
      <c r="Z26" s="2">
        <f>IF(O26&gt;=0.5,invoer_woningen!E26,0)</f>
        <v>0</v>
      </c>
      <c r="AA26" s="2">
        <f>IF(O26&gt;=0.5,invoer_woningen!F26,0)</f>
        <v>0</v>
      </c>
    </row>
    <row r="27" spans="1:27" outlineLevel="1" x14ac:dyDescent="0.3">
      <c r="A27" s="1" t="s">
        <v>304</v>
      </c>
      <c r="B27" s="22" t="str">
        <f>IF(ISBLANK(invoer_woningen!E27)=TRUE,"",((invoer_woningen!J27*kengetallen_woningen!$C$3)+((invoer_woningen!K27-invoer_woningen!L27)*kengetallen_woningen!$C$4))/1000)</f>
        <v/>
      </c>
      <c r="C27" s="36" t="str">
        <f>IF(ISBLANK(invoer_woningen!E27)=TRUE,"",B27*30*invoer_woningen!$E27)</f>
        <v/>
      </c>
      <c r="D27" s="36" t="str">
        <f>IF(Z27&lt;1,"",30*((invoer_woningen!J27*kengetallen_woningen!$I$3)+((invoer_woningen!K27-invoer_woningen!L27)*kengetallen_woningen!$I$4)+invoer_woningen!O27)*invoer_woningen!$E27)</f>
        <v/>
      </c>
      <c r="E27" s="23" t="str">
        <f>IF(ISBLANK(invoer_woningen!E27)=TRUE,"",((invoer_woningen!N27*kengetallen_woningen!$C$3)+((invoer_woningen!P27-invoer_woningen!Q27)*kengetallen_woningen!$C$4)+(invoer_woningen!O27*kengetallen_woningen!$C$5))/1000)</f>
        <v/>
      </c>
      <c r="F27" s="35" t="str">
        <f>IF(ISBLANK(invoer_woningen!E27)=TRUE,"",E27*30*invoer_woningen!$E27)</f>
        <v/>
      </c>
      <c r="G27" s="35" t="str">
        <f>IF(Z27&lt;1,"",30*((invoer_woningen!N27*kengetallen_woningen!$I$3)+((invoer_woningen!P27-invoer_woningen!Q27)*kengetallen_woningen!$I$4)+invoer_woningen!O27)*invoer_woningen!$E27)</f>
        <v/>
      </c>
      <c r="H27" s="23" t="str">
        <f>IF(ISBLANK(invoer_woningen!E27)=TRUE,"",(SUMIF(invoer_aanpakken!A$3:A$508,invoer_woningen!M27, invoer_aanpakken!G$3:G$508))/1000)</f>
        <v/>
      </c>
      <c r="I27" s="23" t="str">
        <f>IF(ISBLANK(invoer_woningen!E27)=TRUE,"",(SUMIF(invoer_aanpakken!A$3:A$508,invoer_woningen!M27, invoer_aanpakken!F$3:F$508))/1000)</f>
        <v/>
      </c>
      <c r="J27" s="19" t="str">
        <f t="shared" si="1"/>
        <v/>
      </c>
      <c r="K27" s="30" t="str">
        <f t="shared" si="2"/>
        <v/>
      </c>
      <c r="L27" s="30" t="str">
        <f>IF(ISBLANK(invoer_woningen!E27)=TRUE,"",C27-F27)</f>
        <v/>
      </c>
      <c r="M27" s="70" t="str">
        <f>IF(ISBLANK(invoer_woningen!E27)=TRUE,"",(H27-I27))</f>
        <v/>
      </c>
      <c r="N27" s="30" t="str">
        <f>IF(ISBLANK(invoer_woningen!E27)=TRUE,"",M27*invoer_woningen!$E27)</f>
        <v/>
      </c>
      <c r="O27" s="19" t="str">
        <f>IF(ISBLANK(invoer_woningen!E27)=TRUE,"",(C27+(H27*invoer_woningen!E27)-F27-(I27*invoer_woningen!E27))/(C27+(H27*invoer_woningen!E27)))</f>
        <v/>
      </c>
      <c r="P27" s="18" t="str">
        <f>IF(ISBLANK(invoer_woningen!E27)=TRUE,"",IF(O27&lt;0.5,0,MIN(15000,((L27/invoer_woningen!E27)+M27)*120)))</f>
        <v/>
      </c>
      <c r="Q27" s="18" t="str">
        <f>IF(ISBLANK(invoer_woningen!E27)=TRUE,"",P27*invoer_woningen!E27)</f>
        <v/>
      </c>
      <c r="S27" s="38" t="str">
        <f>IF(Z27&lt;1,"",invoer_woningen!R27)</f>
        <v/>
      </c>
      <c r="T27" s="38" t="str">
        <f>IF(ISBLANK(invoer_woningen!E27)=TRUE,"",(K27/1000)*((VLOOKUP(_xlfn.CONCAT(invoer_woningen!B27," ",invoer_woningen!C27," ",invoer_woningen!D27),kengetallen_woningen!H$25:K$264,4,FALSE))-invoer_woningen!E27))</f>
        <v/>
      </c>
      <c r="V27" s="123" t="str">
        <f>IF(ISERR(kengetallen_energielasten!G45)=TRUE,"",kengetallen_energielasten!G45)</f>
        <v/>
      </c>
      <c r="W27" s="123" t="str">
        <f>IF(ISBLANK(invoer_woningen!E27)=TRUE,"",IF(ISERR(kengetallen_energielasten!I84)=TRUE,"nnb",kengetallen_energielasten!I84))</f>
        <v/>
      </c>
      <c r="X27" s="123" t="str">
        <f>IF(ISBLANK(invoer_woningen!E27)=TRUE,"",IF(W27=0,"nnb",W27-V27))</f>
        <v/>
      </c>
      <c r="Y27" s="121" t="str">
        <f>IF(ISBLANK(invoer_woningen!E27)=TRUE,"",IF(X27="nnb","nnb",(W27-V27)/V27))</f>
        <v/>
      </c>
      <c r="Z27" s="2">
        <f>IF(O27&gt;=0.5,invoer_woningen!E27,0)</f>
        <v>0</v>
      </c>
      <c r="AA27" s="2">
        <f>IF(O27&gt;=0.5,invoer_woningen!F27,0)</f>
        <v>0</v>
      </c>
    </row>
    <row r="28" spans="1:27" outlineLevel="1" x14ac:dyDescent="0.3">
      <c r="A28" s="1" t="s">
        <v>325</v>
      </c>
      <c r="B28" s="22" t="str">
        <f>IF(ISBLANK(invoer_woningen!E28)=TRUE,"",((invoer_woningen!J28*kengetallen_woningen!$C$3)+((invoer_woningen!K28-invoer_woningen!L28)*kengetallen_woningen!$C$4))/1000)</f>
        <v/>
      </c>
      <c r="C28" s="36" t="str">
        <f>IF(ISBLANK(invoer_woningen!E28)=TRUE,"",B28*30*invoer_woningen!$E28)</f>
        <v/>
      </c>
      <c r="D28" s="36" t="str">
        <f>IF(Z28&lt;1,"",30*((invoer_woningen!J28*kengetallen_woningen!$I$3)+((invoer_woningen!K28-invoer_woningen!L28)*kengetallen_woningen!$I$4)+invoer_woningen!O28)*invoer_woningen!$E28)</f>
        <v/>
      </c>
      <c r="E28" s="23" t="str">
        <f>IF(ISBLANK(invoer_woningen!E28)=TRUE,"",((invoer_woningen!N28*kengetallen_woningen!$C$3)+((invoer_woningen!P28-invoer_woningen!Q28)*kengetallen_woningen!$C$4)+(invoer_woningen!O28*kengetallen_woningen!$C$5))/1000)</f>
        <v/>
      </c>
      <c r="F28" s="35" t="str">
        <f>IF(ISBLANK(invoer_woningen!E28)=TRUE,"",E28*30*invoer_woningen!$E28)</f>
        <v/>
      </c>
      <c r="G28" s="35" t="str">
        <f>IF(Z28&lt;1,"",30*((invoer_woningen!N28*kengetallen_woningen!$I$3)+((invoer_woningen!P28-invoer_woningen!Q28)*kengetallen_woningen!$I$4)+invoer_woningen!O28)*invoer_woningen!$E28)</f>
        <v/>
      </c>
      <c r="H28" s="23" t="str">
        <f>IF(ISBLANK(invoer_woningen!E28)=TRUE,"",(SUMIF(invoer_aanpakken!A$3:A$508,invoer_woningen!M28, invoer_aanpakken!G$3:G$508))/1000)</f>
        <v/>
      </c>
      <c r="I28" s="23" t="str">
        <f>IF(ISBLANK(invoer_woningen!E28)=TRUE,"",(SUMIF(invoer_aanpakken!A$3:A$508,invoer_woningen!M28, invoer_aanpakken!F$3:F$508))/1000)</f>
        <v/>
      </c>
      <c r="J28" s="19" t="str">
        <f t="shared" si="1"/>
        <v/>
      </c>
      <c r="K28" s="30" t="str">
        <f t="shared" si="2"/>
        <v/>
      </c>
      <c r="L28" s="30" t="str">
        <f>IF(ISBLANK(invoer_woningen!E28)=TRUE,"",C28-F28)</f>
        <v/>
      </c>
      <c r="M28" s="70" t="str">
        <f>IF(ISBLANK(invoer_woningen!E28)=TRUE,"",(H28-I28))</f>
        <v/>
      </c>
      <c r="N28" s="30" t="str">
        <f>IF(ISBLANK(invoer_woningen!E28)=TRUE,"",M28*invoer_woningen!$E28)</f>
        <v/>
      </c>
      <c r="O28" s="19" t="str">
        <f>IF(ISBLANK(invoer_woningen!E28)=TRUE,"",(C28+(H28*invoer_woningen!E28)-F28-(I28*invoer_woningen!E28))/(C28+(H28*invoer_woningen!E28)))</f>
        <v/>
      </c>
      <c r="P28" s="18" t="str">
        <f>IF(ISBLANK(invoer_woningen!E28)=TRUE,"",IF(O28&lt;0.5,0,MIN(15000,((L28/invoer_woningen!E28)+M28)*120)))</f>
        <v/>
      </c>
      <c r="Q28" s="18" t="str">
        <f>IF(ISBLANK(invoer_woningen!E28)=TRUE,"",P28*invoer_woningen!E28)</f>
        <v/>
      </c>
      <c r="S28" s="38" t="str">
        <f>IF(Z28&lt;1,"",invoer_woningen!R28)</f>
        <v/>
      </c>
      <c r="T28" s="38" t="str">
        <f>IF(ISBLANK(invoer_woningen!E28)=TRUE,"",(K28/1000)*((VLOOKUP(_xlfn.CONCAT(invoer_woningen!B28," ",invoer_woningen!C28," ",invoer_woningen!D28),kengetallen_woningen!H$25:K$264,4,FALSE))-invoer_woningen!E28))</f>
        <v/>
      </c>
      <c r="V28" s="123" t="str">
        <f>IF(ISERR(kengetallen_energielasten!G46)=TRUE,"",kengetallen_energielasten!G46)</f>
        <v/>
      </c>
      <c r="W28" s="123" t="str">
        <f>IF(ISBLANK(invoer_woningen!E28)=TRUE,"",IF(ISERR(kengetallen_energielasten!I85)=TRUE,"nnb",kengetallen_energielasten!I85))</f>
        <v/>
      </c>
      <c r="X28" s="123" t="str">
        <f>IF(ISBLANK(invoer_woningen!E28)=TRUE,"",IF(W28=0,"nnb",W28-V28))</f>
        <v/>
      </c>
      <c r="Y28" s="121" t="str">
        <f>IF(ISBLANK(invoer_woningen!E28)=TRUE,"",IF(X28="nnb","nnb",(W28-V28)/V28))</f>
        <v/>
      </c>
      <c r="Z28" s="2">
        <f>IF(O28&gt;=0.5,invoer_woningen!E28,0)</f>
        <v>0</v>
      </c>
      <c r="AA28" s="2">
        <f>IF(O28&gt;=0.5,invoer_woningen!F28,0)</f>
        <v>0</v>
      </c>
    </row>
    <row r="29" spans="1:27" outlineLevel="1" x14ac:dyDescent="0.3">
      <c r="A29" s="1" t="s">
        <v>326</v>
      </c>
      <c r="B29" s="22" t="str">
        <f>IF(ISBLANK(invoer_woningen!E29)=TRUE,"",((invoer_woningen!J29*kengetallen_woningen!$C$3)+((invoer_woningen!K29-invoer_woningen!L29)*kengetallen_woningen!$C$4))/1000)</f>
        <v/>
      </c>
      <c r="C29" s="36" t="str">
        <f>IF(ISBLANK(invoer_woningen!E29)=TRUE,"",B29*30*invoer_woningen!$E29)</f>
        <v/>
      </c>
      <c r="D29" s="36" t="str">
        <f>IF(Z29&lt;1,"",30*((invoer_woningen!J29*kengetallen_woningen!$I$3)+((invoer_woningen!K29-invoer_woningen!L29)*kengetallen_woningen!$I$4)+invoer_woningen!O29)*invoer_woningen!$E29)</f>
        <v/>
      </c>
      <c r="E29" s="23" t="str">
        <f>IF(ISBLANK(invoer_woningen!E29)=TRUE,"",((invoer_woningen!N29*kengetallen_woningen!$C$3)+((invoer_woningen!P29-invoer_woningen!Q29)*kengetallen_woningen!$C$4)+(invoer_woningen!O29*kengetallen_woningen!$C$5))/1000)</f>
        <v/>
      </c>
      <c r="F29" s="35" t="str">
        <f>IF(ISBLANK(invoer_woningen!E29)=TRUE,"",E29*30*invoer_woningen!$E29)</f>
        <v/>
      </c>
      <c r="G29" s="35" t="str">
        <f>IF(Z29&lt;1,"",30*((invoer_woningen!N29*kengetallen_woningen!$I$3)+((invoer_woningen!P29-invoer_woningen!Q29)*kengetallen_woningen!$I$4)+invoer_woningen!O29)*invoer_woningen!$E29)</f>
        <v/>
      </c>
      <c r="H29" s="23" t="str">
        <f>IF(ISBLANK(invoer_woningen!E29)=TRUE,"",(SUMIF(invoer_aanpakken!A$3:A$508,invoer_woningen!M29, invoer_aanpakken!G$3:G$508))/1000)</f>
        <v/>
      </c>
      <c r="I29" s="23" t="str">
        <f>IF(ISBLANK(invoer_woningen!E29)=TRUE,"",(SUMIF(invoer_aanpakken!A$3:A$508,invoer_woningen!M29, invoer_aanpakken!F$3:F$508))/1000)</f>
        <v/>
      </c>
      <c r="J29" s="19" t="str">
        <f t="shared" si="1"/>
        <v/>
      </c>
      <c r="K29" s="30" t="str">
        <f t="shared" si="2"/>
        <v/>
      </c>
      <c r="L29" s="30" t="str">
        <f>IF(ISBLANK(invoer_woningen!E29)=TRUE,"",C29-F29)</f>
        <v/>
      </c>
      <c r="M29" s="70" t="str">
        <f>IF(ISBLANK(invoer_woningen!E29)=TRUE,"",(H29-I29))</f>
        <v/>
      </c>
      <c r="N29" s="30" t="str">
        <f>IF(ISBLANK(invoer_woningen!E29)=TRUE,"",M29*invoer_woningen!$E29)</f>
        <v/>
      </c>
      <c r="O29" s="19" t="str">
        <f>IF(ISBLANK(invoer_woningen!E29)=TRUE,"",(C29+(H29*invoer_woningen!E29)-F29-(I29*invoer_woningen!E29))/(C29+(H29*invoer_woningen!E29)))</f>
        <v/>
      </c>
      <c r="P29" s="18" t="str">
        <f>IF(ISBLANK(invoer_woningen!E29)=TRUE,"",IF(O29&lt;0.5,0,MIN(15000,((L29/invoer_woningen!E29)+M29)*120)))</f>
        <v/>
      </c>
      <c r="Q29" s="18" t="str">
        <f>IF(ISBLANK(invoer_woningen!E29)=TRUE,"",P29*invoer_woningen!E29)</f>
        <v/>
      </c>
      <c r="S29" s="38" t="str">
        <f>IF(Z29&lt;1,"",invoer_woningen!R29)</f>
        <v/>
      </c>
      <c r="T29" s="38" t="str">
        <f>IF(ISBLANK(invoer_woningen!E29)=TRUE,"",(K29/1000)*((VLOOKUP(_xlfn.CONCAT(invoer_woningen!B29," ",invoer_woningen!C29," ",invoer_woningen!D29),kengetallen_woningen!H$25:K$264,4,FALSE))-invoer_woningen!E29))</f>
        <v/>
      </c>
      <c r="V29" s="123" t="str">
        <f>IF(ISERR(kengetallen_energielasten!G47)=TRUE,"",kengetallen_energielasten!G47)</f>
        <v/>
      </c>
      <c r="W29" s="123" t="str">
        <f>IF(ISBLANK(invoer_woningen!E29)=TRUE,"",IF(ISERR(kengetallen_energielasten!I86)=TRUE,"nnb",kengetallen_energielasten!I86))</f>
        <v/>
      </c>
      <c r="X29" s="123" t="str">
        <f>IF(ISBLANK(invoer_woningen!E29)=TRUE,"",IF(W29=0,"nnb",W29-V29))</f>
        <v/>
      </c>
      <c r="Y29" s="121" t="str">
        <f>IF(ISBLANK(invoer_woningen!E29)=TRUE,"",IF(X29="nnb","nnb",(W29-V29)/V29))</f>
        <v/>
      </c>
      <c r="Z29" s="2">
        <f>IF(O29&gt;=0.5,invoer_woningen!E29,0)</f>
        <v>0</v>
      </c>
      <c r="AA29" s="2">
        <f>IF(O29&gt;=0.5,invoer_woningen!F29,0)</f>
        <v>0</v>
      </c>
    </row>
    <row r="30" spans="1:27" outlineLevel="1" x14ac:dyDescent="0.3">
      <c r="A30" s="1" t="s">
        <v>327</v>
      </c>
      <c r="B30" s="22" t="str">
        <f>IF(ISBLANK(invoer_woningen!E30)=TRUE,"",((invoer_woningen!J30*kengetallen_woningen!$C$3)+((invoer_woningen!K30-invoer_woningen!L30)*kengetallen_woningen!$C$4))/1000)</f>
        <v/>
      </c>
      <c r="C30" s="36" t="str">
        <f>IF(ISBLANK(invoer_woningen!E30)=TRUE,"",B30*30*invoer_woningen!$E30)</f>
        <v/>
      </c>
      <c r="D30" s="36" t="str">
        <f>IF(Z30&lt;1,"",30*((invoer_woningen!J30*kengetallen_woningen!$I$3)+((invoer_woningen!K30-invoer_woningen!L30)*kengetallen_woningen!$I$4)+invoer_woningen!O30)*invoer_woningen!$E30)</f>
        <v/>
      </c>
      <c r="E30" s="23" t="str">
        <f>IF(ISBLANK(invoer_woningen!E30)=TRUE,"",((invoer_woningen!N30*kengetallen_woningen!$C$3)+((invoer_woningen!P30-invoer_woningen!Q30)*kengetallen_woningen!$C$4)+(invoer_woningen!O30*kengetallen_woningen!$C$5))/1000)</f>
        <v/>
      </c>
      <c r="F30" s="35" t="str">
        <f>IF(ISBLANK(invoer_woningen!E30)=TRUE,"",E30*30*invoer_woningen!$E30)</f>
        <v/>
      </c>
      <c r="G30" s="35" t="str">
        <f>IF(Z30&lt;1,"",30*((invoer_woningen!N30*kengetallen_woningen!$I$3)+((invoer_woningen!P30-invoer_woningen!Q30)*kengetallen_woningen!$I$4)+invoer_woningen!O30)*invoer_woningen!$E30)</f>
        <v/>
      </c>
      <c r="H30" s="23" t="str">
        <f>IF(ISBLANK(invoer_woningen!E30)=TRUE,"",(SUMIF(invoer_aanpakken!A$3:A$508,invoer_woningen!M30, invoer_aanpakken!G$3:G$508))/1000)</f>
        <v/>
      </c>
      <c r="I30" s="23" t="str">
        <f>IF(ISBLANK(invoer_woningen!E30)=TRUE,"",(SUMIF(invoer_aanpakken!A$3:A$508,invoer_woningen!M30, invoer_aanpakken!F$3:F$508))/1000)</f>
        <v/>
      </c>
      <c r="J30" s="19" t="str">
        <f t="shared" si="1"/>
        <v/>
      </c>
      <c r="K30" s="30" t="str">
        <f t="shared" si="2"/>
        <v/>
      </c>
      <c r="L30" s="30" t="str">
        <f>IF(ISBLANK(invoer_woningen!E30)=TRUE,"",C30-F30)</f>
        <v/>
      </c>
      <c r="M30" s="70" t="str">
        <f>IF(ISBLANK(invoer_woningen!E30)=TRUE,"",(H30-I30))</f>
        <v/>
      </c>
      <c r="N30" s="30" t="str">
        <f>IF(ISBLANK(invoer_woningen!E30)=TRUE,"",M30*invoer_woningen!$E30)</f>
        <v/>
      </c>
      <c r="O30" s="19" t="str">
        <f>IF(ISBLANK(invoer_woningen!E30)=TRUE,"",(C30+(H30*invoer_woningen!E30)-F30-(I30*invoer_woningen!E30))/(C30+(H30*invoer_woningen!E30)))</f>
        <v/>
      </c>
      <c r="P30" s="18" t="str">
        <f>IF(ISBLANK(invoer_woningen!E30)=TRUE,"",IF(O30&lt;0.5,0,MIN(15000,((L30/invoer_woningen!E30)+M30)*120)))</f>
        <v/>
      </c>
      <c r="Q30" s="18" t="str">
        <f>IF(ISBLANK(invoer_woningen!E30)=TRUE,"",P30*invoer_woningen!E30)</f>
        <v/>
      </c>
      <c r="S30" s="38" t="str">
        <f>IF(Z30&lt;1,"",invoer_woningen!R30)</f>
        <v/>
      </c>
      <c r="T30" s="38" t="str">
        <f>IF(ISBLANK(invoer_woningen!E30)=TRUE,"",(K30/1000)*((VLOOKUP(_xlfn.CONCAT(invoer_woningen!B30," ",invoer_woningen!C30," ",invoer_woningen!D30),kengetallen_woningen!H$25:K$264,4,FALSE))-invoer_woningen!E30))</f>
        <v/>
      </c>
      <c r="V30" s="123" t="str">
        <f>IF(ISERR(kengetallen_energielasten!G48)=TRUE,"",kengetallen_energielasten!G48)</f>
        <v/>
      </c>
      <c r="W30" s="123" t="str">
        <f>IF(ISBLANK(invoer_woningen!E30)=TRUE,"",IF(ISERR(kengetallen_energielasten!I87)=TRUE,"nnb",kengetallen_energielasten!I87))</f>
        <v/>
      </c>
      <c r="X30" s="123" t="str">
        <f>IF(ISBLANK(invoer_woningen!E30)=TRUE,"",IF(W30=0,"nnb",W30-V30))</f>
        <v/>
      </c>
      <c r="Y30" s="121" t="str">
        <f>IF(ISBLANK(invoer_woningen!E30)=TRUE,"",IF(X30="nnb","nnb",(W30-V30)/V30))</f>
        <v/>
      </c>
      <c r="Z30" s="2">
        <f>IF(O30&gt;=0.5,invoer_woningen!E30,0)</f>
        <v>0</v>
      </c>
      <c r="AA30" s="2">
        <f>IF(O30&gt;=0.5,invoer_woningen!F30,0)</f>
        <v>0</v>
      </c>
    </row>
    <row r="31" spans="1:27" outlineLevel="1" x14ac:dyDescent="0.3">
      <c r="A31" s="1" t="s">
        <v>328</v>
      </c>
      <c r="B31" s="22" t="str">
        <f>IF(ISBLANK(invoer_woningen!E31)=TRUE,"",((invoer_woningen!J31*kengetallen_woningen!$C$3)+((invoer_woningen!K31-invoer_woningen!L31)*kengetallen_woningen!$C$4))/1000)</f>
        <v/>
      </c>
      <c r="C31" s="36" t="str">
        <f>IF(ISBLANK(invoer_woningen!E31)=TRUE,"",B31*30*invoer_woningen!$E31)</f>
        <v/>
      </c>
      <c r="D31" s="36" t="str">
        <f>IF(Z31&lt;1,"",30*((invoer_woningen!J31*kengetallen_woningen!$I$3)+((invoer_woningen!K31-invoer_woningen!L31)*kengetallen_woningen!$I$4)+invoer_woningen!O31)*invoer_woningen!$E31)</f>
        <v/>
      </c>
      <c r="E31" s="23" t="str">
        <f>IF(ISBLANK(invoer_woningen!E31)=TRUE,"",((invoer_woningen!N31*kengetallen_woningen!$C$3)+((invoer_woningen!P31-invoer_woningen!Q31)*kengetallen_woningen!$C$4)+(invoer_woningen!O31*kengetallen_woningen!$C$5))/1000)</f>
        <v/>
      </c>
      <c r="F31" s="35" t="str">
        <f>IF(ISBLANK(invoer_woningen!E31)=TRUE,"",E31*30*invoer_woningen!$E31)</f>
        <v/>
      </c>
      <c r="G31" s="35" t="str">
        <f>IF(Z31&lt;1,"",30*((invoer_woningen!N31*kengetallen_woningen!$I$3)+((invoer_woningen!P31-invoer_woningen!Q31)*kengetallen_woningen!$I$4)+invoer_woningen!O31)*invoer_woningen!$E31)</f>
        <v/>
      </c>
      <c r="H31" s="23" t="str">
        <f>IF(ISBLANK(invoer_woningen!E31)=TRUE,"",(SUMIF(invoer_aanpakken!A$3:A$508,invoer_woningen!M31, invoer_aanpakken!G$3:G$508))/1000)</f>
        <v/>
      </c>
      <c r="I31" s="23" t="str">
        <f>IF(ISBLANK(invoer_woningen!E31)=TRUE,"",(SUMIF(invoer_aanpakken!A$3:A$508,invoer_woningen!M31, invoer_aanpakken!F$3:F$508))/1000)</f>
        <v/>
      </c>
      <c r="J31" s="19" t="str">
        <f t="shared" si="1"/>
        <v/>
      </c>
      <c r="K31" s="30" t="str">
        <f t="shared" si="2"/>
        <v/>
      </c>
      <c r="L31" s="30" t="str">
        <f>IF(ISBLANK(invoer_woningen!E31)=TRUE,"",C31-F31)</f>
        <v/>
      </c>
      <c r="M31" s="70" t="str">
        <f>IF(ISBLANK(invoer_woningen!E31)=TRUE,"",(H31-I31))</f>
        <v/>
      </c>
      <c r="N31" s="30" t="str">
        <f>IF(ISBLANK(invoer_woningen!E31)=TRUE,"",M31*invoer_woningen!$E31)</f>
        <v/>
      </c>
      <c r="O31" s="19" t="str">
        <f>IF(ISBLANK(invoer_woningen!E31)=TRUE,"",(C31+(H31*invoer_woningen!E31)-F31-(I31*invoer_woningen!E31))/(C31+(H31*invoer_woningen!E31)))</f>
        <v/>
      </c>
      <c r="P31" s="18" t="str">
        <f>IF(ISBLANK(invoer_woningen!E31)=TRUE,"",IF(O31&lt;0.5,0,MIN(15000,((L31/invoer_woningen!E31)+M31)*120)))</f>
        <v/>
      </c>
      <c r="Q31" s="18" t="str">
        <f>IF(ISBLANK(invoer_woningen!E31)=TRUE,"",P31*invoer_woningen!E31)</f>
        <v/>
      </c>
      <c r="S31" s="38" t="str">
        <f>IF(Z31&lt;1,"",invoer_woningen!R31)</f>
        <v/>
      </c>
      <c r="T31" s="38" t="str">
        <f>IF(ISBLANK(invoer_woningen!E31)=TRUE,"",(K31/1000)*((VLOOKUP(_xlfn.CONCAT(invoer_woningen!B31," ",invoer_woningen!C31," ",invoer_woningen!D31),kengetallen_woningen!H$25:K$264,4,FALSE))-invoer_woningen!E31))</f>
        <v/>
      </c>
      <c r="V31" s="123" t="str">
        <f>IF(ISERR(kengetallen_energielasten!G49)=TRUE,"",kengetallen_energielasten!G49)</f>
        <v/>
      </c>
      <c r="W31" s="123" t="str">
        <f>IF(ISBLANK(invoer_woningen!E31)=TRUE,"",IF(ISERR(kengetallen_energielasten!I88)=TRUE,"nnb",kengetallen_energielasten!I88))</f>
        <v/>
      </c>
      <c r="X31" s="123" t="str">
        <f>IF(ISBLANK(invoer_woningen!E31)=TRUE,"",IF(W31=0,"nnb",W31-V31))</f>
        <v/>
      </c>
      <c r="Y31" s="121" t="str">
        <f>IF(ISBLANK(invoer_woningen!E31)=TRUE,"",IF(X31="nnb","nnb",(W31-V31)/V31))</f>
        <v/>
      </c>
      <c r="Z31" s="2">
        <f>IF(O31&gt;=0.5,invoer_woningen!E31,0)</f>
        <v>0</v>
      </c>
      <c r="AA31" s="2">
        <f>IF(O31&gt;=0.5,invoer_woningen!F31,0)</f>
        <v>0</v>
      </c>
    </row>
    <row r="32" spans="1:27" outlineLevel="1" x14ac:dyDescent="0.3">
      <c r="A32" s="1" t="s">
        <v>329</v>
      </c>
      <c r="B32" s="22" t="str">
        <f>IF(ISBLANK(invoer_woningen!E32)=TRUE,"",((invoer_woningen!J32*kengetallen_woningen!$C$3)+((invoer_woningen!K32-invoer_woningen!L32)*kengetallen_woningen!$C$4))/1000)</f>
        <v/>
      </c>
      <c r="C32" s="36" t="str">
        <f>IF(ISBLANK(invoer_woningen!E32)=TRUE,"",B32*30*invoer_woningen!$E32)</f>
        <v/>
      </c>
      <c r="D32" s="36" t="str">
        <f>IF(Z32&lt;1,"",30*((invoer_woningen!J32*kengetallen_woningen!$I$3)+((invoer_woningen!K32-invoer_woningen!L32)*kengetallen_woningen!$I$4)+invoer_woningen!O32)*invoer_woningen!$E32)</f>
        <v/>
      </c>
      <c r="E32" s="23" t="str">
        <f>IF(ISBLANK(invoer_woningen!E32)=TRUE,"",((invoer_woningen!N32*kengetallen_woningen!$C$3)+((invoer_woningen!P32-invoer_woningen!Q32)*kengetallen_woningen!$C$4)+(invoer_woningen!O32*kengetallen_woningen!$C$5))/1000)</f>
        <v/>
      </c>
      <c r="F32" s="35" t="str">
        <f>IF(ISBLANK(invoer_woningen!E32)=TRUE,"",E32*30*invoer_woningen!$E32)</f>
        <v/>
      </c>
      <c r="G32" s="35" t="str">
        <f>IF(Z32&lt;1,"",30*((invoer_woningen!N32*kengetallen_woningen!$I$3)+((invoer_woningen!P32-invoer_woningen!Q32)*kengetallen_woningen!$I$4)+invoer_woningen!O32)*invoer_woningen!$E32)</f>
        <v/>
      </c>
      <c r="H32" s="23" t="str">
        <f>IF(ISBLANK(invoer_woningen!E32)=TRUE,"",(SUMIF(invoer_aanpakken!A$3:A$508,invoer_woningen!M32, invoer_aanpakken!G$3:G$508))/1000)</f>
        <v/>
      </c>
      <c r="I32" s="23" t="str">
        <f>IF(ISBLANK(invoer_woningen!E32)=TRUE,"",(SUMIF(invoer_aanpakken!A$3:A$508,invoer_woningen!M32, invoer_aanpakken!F$3:F$508))/1000)</f>
        <v/>
      </c>
      <c r="J32" s="19" t="str">
        <f t="shared" si="1"/>
        <v/>
      </c>
      <c r="K32" s="30" t="str">
        <f t="shared" si="2"/>
        <v/>
      </c>
      <c r="L32" s="30" t="str">
        <f>IF(ISBLANK(invoer_woningen!E32)=TRUE,"",C32-F32)</f>
        <v/>
      </c>
      <c r="M32" s="70" t="str">
        <f>IF(ISBLANK(invoer_woningen!E32)=TRUE,"",(H32-I32))</f>
        <v/>
      </c>
      <c r="N32" s="30" t="str">
        <f>IF(ISBLANK(invoer_woningen!E32)=TRUE,"",M32*invoer_woningen!$E32)</f>
        <v/>
      </c>
      <c r="O32" s="19" t="str">
        <f>IF(ISBLANK(invoer_woningen!E32)=TRUE,"",(C32+(H32*invoer_woningen!E32)-F32-(I32*invoer_woningen!E32))/(C32+(H32*invoer_woningen!E32)))</f>
        <v/>
      </c>
      <c r="P32" s="18" t="str">
        <f>IF(ISBLANK(invoer_woningen!E32)=TRUE,"",IF(O32&lt;0.5,0,MIN(15000,((L32/invoer_woningen!E32)+M32)*120)))</f>
        <v/>
      </c>
      <c r="Q32" s="18" t="str">
        <f>IF(ISBLANK(invoer_woningen!E32)=TRUE,"",P32*invoer_woningen!E32)</f>
        <v/>
      </c>
      <c r="S32" s="38" t="str">
        <f>IF(Z32&lt;1,"",invoer_woningen!R32)</f>
        <v/>
      </c>
      <c r="T32" s="38" t="str">
        <f>IF(ISBLANK(invoer_woningen!E32)=TRUE,"",(K32/1000)*((VLOOKUP(_xlfn.CONCAT(invoer_woningen!B32," ",invoer_woningen!C32," ",invoer_woningen!D32),kengetallen_woningen!H$25:K$264,4,FALSE))-invoer_woningen!E32))</f>
        <v/>
      </c>
      <c r="V32" s="123" t="str">
        <f>IF(ISERR(kengetallen_energielasten!G50)=TRUE,"",kengetallen_energielasten!G50)</f>
        <v/>
      </c>
      <c r="W32" s="123" t="str">
        <f>IF(ISBLANK(invoer_woningen!E32)=TRUE,"",IF(ISERR(kengetallen_energielasten!I89)=TRUE,"nnb",kengetallen_energielasten!I89))</f>
        <v/>
      </c>
      <c r="X32" s="123" t="str">
        <f>IF(ISBLANK(invoer_woningen!E32)=TRUE,"",IF(W32=0,"nnb",W32-V32))</f>
        <v/>
      </c>
      <c r="Y32" s="121" t="str">
        <f>IF(ISBLANK(invoer_woningen!E32)=TRUE,"",IF(X32="nnb","nnb",(W32-V32)/V32))</f>
        <v/>
      </c>
      <c r="Z32" s="2">
        <f>IF(O32&gt;=0.5,invoer_woningen!E32,0)</f>
        <v>0</v>
      </c>
      <c r="AA32" s="2">
        <f>IF(O32&gt;=0.5,invoer_woningen!F32,0)</f>
        <v>0</v>
      </c>
    </row>
    <row r="33" spans="1:27" outlineLevel="1" x14ac:dyDescent="0.3">
      <c r="A33" s="1" t="s">
        <v>330</v>
      </c>
      <c r="B33" s="22" t="str">
        <f>IF(ISBLANK(invoer_woningen!E33)=TRUE,"",((invoer_woningen!J33*kengetallen_woningen!$C$3)+((invoer_woningen!K33-invoer_woningen!L33)*kengetallen_woningen!$C$4))/1000)</f>
        <v/>
      </c>
      <c r="C33" s="36" t="str">
        <f>IF(ISBLANK(invoer_woningen!E33)=TRUE,"",B33*30*invoer_woningen!$E33)</f>
        <v/>
      </c>
      <c r="D33" s="36" t="str">
        <f>IF(Z33&lt;1,"",30*((invoer_woningen!J33*kengetallen_woningen!$I$3)+((invoer_woningen!K33-invoer_woningen!L33)*kengetallen_woningen!$I$4)+invoer_woningen!O33)*invoer_woningen!$E33)</f>
        <v/>
      </c>
      <c r="E33" s="23" t="str">
        <f>IF(ISBLANK(invoer_woningen!E33)=TRUE,"",((invoer_woningen!N33*kengetallen_woningen!$C$3)+((invoer_woningen!P33-invoer_woningen!Q33)*kengetallen_woningen!$C$4)+(invoer_woningen!O33*kengetallen_woningen!$C$5))/1000)</f>
        <v/>
      </c>
      <c r="F33" s="35" t="str">
        <f>IF(ISBLANK(invoer_woningen!E33)=TRUE,"",E33*30*invoer_woningen!$E33)</f>
        <v/>
      </c>
      <c r="G33" s="35" t="str">
        <f>IF(Z33&lt;1,"",30*((invoer_woningen!N33*kengetallen_woningen!$I$3)+((invoer_woningen!P33-invoer_woningen!Q33)*kengetallen_woningen!$I$4)+invoer_woningen!O33)*invoer_woningen!$E33)</f>
        <v/>
      </c>
      <c r="H33" s="23" t="str">
        <f>IF(ISBLANK(invoer_woningen!E33)=TRUE,"",(SUMIF(invoer_aanpakken!A$3:A$508,invoer_woningen!M33, invoer_aanpakken!G$3:G$508))/1000)</f>
        <v/>
      </c>
      <c r="I33" s="23" t="str">
        <f>IF(ISBLANK(invoer_woningen!E33)=TRUE,"",(SUMIF(invoer_aanpakken!A$3:A$508,invoer_woningen!M33, invoer_aanpakken!F$3:F$508))/1000)</f>
        <v/>
      </c>
      <c r="J33" s="19" t="str">
        <f t="shared" si="1"/>
        <v/>
      </c>
      <c r="K33" s="30" t="str">
        <f t="shared" si="2"/>
        <v/>
      </c>
      <c r="L33" s="30" t="str">
        <f>IF(ISBLANK(invoer_woningen!E33)=TRUE,"",C33-F33)</f>
        <v/>
      </c>
      <c r="M33" s="70" t="str">
        <f>IF(ISBLANK(invoer_woningen!E33)=TRUE,"",(H33-I33))</f>
        <v/>
      </c>
      <c r="N33" s="30" t="str">
        <f>IF(ISBLANK(invoer_woningen!E33)=TRUE,"",M33*invoer_woningen!$E33)</f>
        <v/>
      </c>
      <c r="O33" s="19" t="str">
        <f>IF(ISBLANK(invoer_woningen!E33)=TRUE,"",(C33+(H33*invoer_woningen!E33)-F33-(I33*invoer_woningen!E33))/(C33+(H33*invoer_woningen!E33)))</f>
        <v/>
      </c>
      <c r="P33" s="18" t="str">
        <f>IF(ISBLANK(invoer_woningen!E33)=TRUE,"",IF(O33&lt;0.5,0,MIN(15000,((L33/invoer_woningen!E33)+M33)*120)))</f>
        <v/>
      </c>
      <c r="Q33" s="18" t="str">
        <f>IF(ISBLANK(invoer_woningen!E33)=TRUE,"",P33*invoer_woningen!E33)</f>
        <v/>
      </c>
      <c r="S33" s="38" t="str">
        <f>IF(Z33&lt;1,"",invoer_woningen!R33)</f>
        <v/>
      </c>
      <c r="T33" s="38" t="str">
        <f>IF(ISBLANK(invoer_woningen!E33)=TRUE,"",(K33/1000)*((VLOOKUP(_xlfn.CONCAT(invoer_woningen!B33," ",invoer_woningen!C33," ",invoer_woningen!D33),kengetallen_woningen!H$25:K$264,4,FALSE))-invoer_woningen!E33))</f>
        <v/>
      </c>
      <c r="V33" s="123" t="str">
        <f>IF(ISERR(kengetallen_energielasten!G51)=TRUE,"",kengetallen_energielasten!G51)</f>
        <v/>
      </c>
      <c r="W33" s="123" t="str">
        <f>IF(ISBLANK(invoer_woningen!E33)=TRUE,"",IF(ISERR(kengetallen_energielasten!I90)=TRUE,"nnb",kengetallen_energielasten!I90))</f>
        <v/>
      </c>
      <c r="X33" s="123" t="str">
        <f>IF(ISBLANK(invoer_woningen!E33)=TRUE,"",IF(W33=0,"nnb",W33-V33))</f>
        <v/>
      </c>
      <c r="Y33" s="121" t="str">
        <f>IF(ISBLANK(invoer_woningen!E33)=TRUE,"",IF(X33="nnb","nnb",(W33-V33)/V33))</f>
        <v/>
      </c>
      <c r="Z33" s="2">
        <f>IF(O33&gt;=0.5,invoer_woningen!E33,0)</f>
        <v>0</v>
      </c>
      <c r="AA33" s="2">
        <f>IF(O33&gt;=0.5,invoer_woningen!F33,0)</f>
        <v>0</v>
      </c>
    </row>
    <row r="34" spans="1:27" outlineLevel="1" x14ac:dyDescent="0.3">
      <c r="A34" s="1" t="s">
        <v>331</v>
      </c>
      <c r="B34" s="22" t="str">
        <f>IF(ISBLANK(invoer_woningen!E34)=TRUE,"",((invoer_woningen!J34*kengetallen_woningen!$C$3)+((invoer_woningen!K34-invoer_woningen!L34)*kengetallen_woningen!$C$4))/1000)</f>
        <v/>
      </c>
      <c r="C34" s="36" t="str">
        <f>IF(ISBLANK(invoer_woningen!E34)=TRUE,"",B34*30*invoer_woningen!$E34)</f>
        <v/>
      </c>
      <c r="D34" s="36" t="str">
        <f>IF(Z34&lt;1,"",30*((invoer_woningen!J34*kengetallen_woningen!$I$3)+((invoer_woningen!K34-invoer_woningen!L34)*kengetallen_woningen!$I$4)+invoer_woningen!O34)*invoer_woningen!$E34)</f>
        <v/>
      </c>
      <c r="E34" s="23" t="str">
        <f>IF(ISBLANK(invoer_woningen!E34)=TRUE,"",((invoer_woningen!N34*kengetallen_woningen!$C$3)+((invoer_woningen!P34-invoer_woningen!Q34)*kengetallen_woningen!$C$4)+(invoer_woningen!O34*kengetallen_woningen!$C$5))/1000)</f>
        <v/>
      </c>
      <c r="F34" s="35" t="str">
        <f>IF(ISBLANK(invoer_woningen!E34)=TRUE,"",E34*30*invoer_woningen!$E34)</f>
        <v/>
      </c>
      <c r="G34" s="35" t="str">
        <f>IF(Z34&lt;1,"",30*((invoer_woningen!N34*kengetallen_woningen!$I$3)+((invoer_woningen!P34-invoer_woningen!Q34)*kengetallen_woningen!$I$4)+invoer_woningen!O34)*invoer_woningen!$E34)</f>
        <v/>
      </c>
      <c r="H34" s="23" t="str">
        <f>IF(ISBLANK(invoer_woningen!E34)=TRUE,"",(SUMIF(invoer_aanpakken!A$3:A$508,invoer_woningen!M34, invoer_aanpakken!G$3:G$508))/1000)</f>
        <v/>
      </c>
      <c r="I34" s="23" t="str">
        <f>IF(ISBLANK(invoer_woningen!E34)=TRUE,"",(SUMIF(invoer_aanpakken!A$3:A$508,invoer_woningen!M34, invoer_aanpakken!F$3:F$508))/1000)</f>
        <v/>
      </c>
      <c r="J34" s="19" t="str">
        <f t="shared" si="1"/>
        <v/>
      </c>
      <c r="K34" s="30" t="str">
        <f t="shared" si="2"/>
        <v/>
      </c>
      <c r="L34" s="30" t="str">
        <f>IF(ISBLANK(invoer_woningen!E34)=TRUE,"",C34-F34)</f>
        <v/>
      </c>
      <c r="M34" s="70" t="str">
        <f>IF(ISBLANK(invoer_woningen!E34)=TRUE,"",(H34-I34))</f>
        <v/>
      </c>
      <c r="N34" s="30" t="str">
        <f>IF(ISBLANK(invoer_woningen!E34)=TRUE,"",M34*invoer_woningen!$E34)</f>
        <v/>
      </c>
      <c r="O34" s="19" t="str">
        <f>IF(ISBLANK(invoer_woningen!E34)=TRUE,"",(C34+(H34*invoer_woningen!E34)-F34-(I34*invoer_woningen!E34))/(C34+(H34*invoer_woningen!E34)))</f>
        <v/>
      </c>
      <c r="P34" s="18" t="str">
        <f>IF(ISBLANK(invoer_woningen!E34)=TRUE,"",IF(O34&lt;0.5,0,MIN(15000,((L34/invoer_woningen!E34)+M34)*120)))</f>
        <v/>
      </c>
      <c r="Q34" s="18" t="str">
        <f>IF(ISBLANK(invoer_woningen!E34)=TRUE,"",P34*invoer_woningen!E34)</f>
        <v/>
      </c>
      <c r="S34" s="38" t="str">
        <f>IF(Z34&lt;1,"",invoer_woningen!R34)</f>
        <v/>
      </c>
      <c r="T34" s="38" t="str">
        <f>IF(ISBLANK(invoer_woningen!E34)=TRUE,"",(K34/1000)*((VLOOKUP(_xlfn.CONCAT(invoer_woningen!B34," ",invoer_woningen!C34," ",invoer_woningen!D34),kengetallen_woningen!H$25:K$264,4,FALSE))-invoer_woningen!E34))</f>
        <v/>
      </c>
      <c r="V34" s="123" t="str">
        <f>IF(ISERR(kengetallen_energielasten!G52)=TRUE,"",kengetallen_energielasten!G52)</f>
        <v/>
      </c>
      <c r="W34" s="123" t="str">
        <f>IF(ISBLANK(invoer_woningen!E34)=TRUE,"",IF(ISERR(kengetallen_energielasten!I91)=TRUE,"nnb",kengetallen_energielasten!I91))</f>
        <v/>
      </c>
      <c r="X34" s="123" t="str">
        <f>IF(ISBLANK(invoer_woningen!E34)=TRUE,"",IF(W34=0,"nnb",W34-V34))</f>
        <v/>
      </c>
      <c r="Y34" s="121" t="str">
        <f>IF(ISBLANK(invoer_woningen!E34)=TRUE,"",IF(X34="nnb","nnb",(W34-V34)/V34))</f>
        <v/>
      </c>
      <c r="Z34" s="2">
        <f>IF(O34&gt;=0.5,invoer_woningen!E34,0)</f>
        <v>0</v>
      </c>
      <c r="AA34" s="2">
        <f>IF(O34&gt;=0.5,invoer_woningen!F34,0)</f>
        <v>0</v>
      </c>
    </row>
    <row r="35" spans="1:27" outlineLevel="1" x14ac:dyDescent="0.3">
      <c r="A35" s="1" t="s">
        <v>332</v>
      </c>
      <c r="B35" s="22" t="str">
        <f>IF(ISBLANK(invoer_woningen!E35)=TRUE,"",((invoer_woningen!J35*kengetallen_woningen!$C$3)+((invoer_woningen!K35-invoer_woningen!L35)*kengetallen_woningen!$C$4))/1000)</f>
        <v/>
      </c>
      <c r="C35" s="36" t="str">
        <f>IF(ISBLANK(invoer_woningen!E35)=TRUE,"",B35*30*invoer_woningen!$E35)</f>
        <v/>
      </c>
      <c r="D35" s="36" t="str">
        <f>IF(Z35&lt;1,"",30*((invoer_woningen!J35*kengetallen_woningen!$I$3)+((invoer_woningen!K35-invoer_woningen!L35)*kengetallen_woningen!$I$4)+invoer_woningen!O35)*invoer_woningen!$E35)</f>
        <v/>
      </c>
      <c r="E35" s="23" t="str">
        <f>IF(ISBLANK(invoer_woningen!E35)=TRUE,"",((invoer_woningen!N35*kengetallen_woningen!$C$3)+((invoer_woningen!P35-invoer_woningen!Q35)*kengetallen_woningen!$C$4)+(invoer_woningen!O35*kengetallen_woningen!$C$5))/1000)</f>
        <v/>
      </c>
      <c r="F35" s="35" t="str">
        <f>IF(ISBLANK(invoer_woningen!E35)=TRUE,"",E35*30*invoer_woningen!$E35)</f>
        <v/>
      </c>
      <c r="G35" s="35" t="str">
        <f>IF(Z35&lt;1,"",30*((invoer_woningen!N35*kengetallen_woningen!$I$3)+((invoer_woningen!P35-invoer_woningen!Q35)*kengetallen_woningen!$I$4)+invoer_woningen!O35)*invoer_woningen!$E35)</f>
        <v/>
      </c>
      <c r="H35" s="23" t="str">
        <f>IF(ISBLANK(invoer_woningen!E35)=TRUE,"",(SUMIF(invoer_aanpakken!A$3:A$508,invoer_woningen!M35, invoer_aanpakken!G$3:G$508))/1000)</f>
        <v/>
      </c>
      <c r="I35" s="23" t="str">
        <f>IF(ISBLANK(invoer_woningen!E35)=TRUE,"",(SUMIF(invoer_aanpakken!A$3:A$508,invoer_woningen!M35, invoer_aanpakken!F$3:F$508))/1000)</f>
        <v/>
      </c>
      <c r="J35" s="19" t="str">
        <f t="shared" si="1"/>
        <v/>
      </c>
      <c r="K35" s="30" t="str">
        <f t="shared" si="2"/>
        <v/>
      </c>
      <c r="L35" s="30" t="str">
        <f>IF(ISBLANK(invoer_woningen!E35)=TRUE,"",C35-F35)</f>
        <v/>
      </c>
      <c r="M35" s="70" t="str">
        <f>IF(ISBLANK(invoer_woningen!E35)=TRUE,"",(H35-I35))</f>
        <v/>
      </c>
      <c r="N35" s="30" t="str">
        <f>IF(ISBLANK(invoer_woningen!E35)=TRUE,"",M35*invoer_woningen!$E35)</f>
        <v/>
      </c>
      <c r="O35" s="19" t="str">
        <f>IF(ISBLANK(invoer_woningen!E35)=TRUE,"",(C35+(H35*invoer_woningen!E35)-F35-(I35*invoer_woningen!E35))/(C35+(H35*invoer_woningen!E35)))</f>
        <v/>
      </c>
      <c r="P35" s="18" t="str">
        <f>IF(ISBLANK(invoer_woningen!E35)=TRUE,"",IF(O35&lt;0.5,0,MIN(15000,((L35/invoer_woningen!E35)+M35)*120)))</f>
        <v/>
      </c>
      <c r="Q35" s="18" t="str">
        <f>IF(ISBLANK(invoer_woningen!E35)=TRUE,"",P35*invoer_woningen!E35)</f>
        <v/>
      </c>
      <c r="S35" s="38" t="str">
        <f>IF(Z35&lt;1,"",invoer_woningen!R35)</f>
        <v/>
      </c>
      <c r="T35" s="38" t="str">
        <f>IF(ISBLANK(invoer_woningen!E35)=TRUE,"",(K35/1000)*((VLOOKUP(_xlfn.CONCAT(invoer_woningen!B35," ",invoer_woningen!C35," ",invoer_woningen!D35),kengetallen_woningen!H$25:K$264,4,FALSE))-invoer_woningen!E35))</f>
        <v/>
      </c>
      <c r="V35" s="123" t="str">
        <f>IF(ISERR(kengetallen_energielasten!G53)=TRUE,"",kengetallen_energielasten!G53)</f>
        <v/>
      </c>
      <c r="W35" s="123" t="str">
        <f>IF(ISBLANK(invoer_woningen!E35)=TRUE,"",IF(ISERR(kengetallen_energielasten!I92)=TRUE,"nnb",kengetallen_energielasten!I92))</f>
        <v/>
      </c>
      <c r="X35" s="123" t="str">
        <f>IF(ISBLANK(invoer_woningen!E35)=TRUE,"",IF(W35=0,"nnb",W35-V35))</f>
        <v/>
      </c>
      <c r="Y35" s="121" t="str">
        <f>IF(ISBLANK(invoer_woningen!E35)=TRUE,"",IF(X35="nnb","nnb",(W35-V35)/V35))</f>
        <v/>
      </c>
      <c r="Z35" s="2">
        <f>IF(O35&gt;=0.5,invoer_woningen!E35,0)</f>
        <v>0</v>
      </c>
      <c r="AA35" s="2">
        <f>IF(O35&gt;=0.5,invoer_woningen!F35,0)</f>
        <v>0</v>
      </c>
    </row>
    <row r="36" spans="1:27" outlineLevel="1" x14ac:dyDescent="0.3">
      <c r="A36" s="1" t="s">
        <v>333</v>
      </c>
      <c r="B36" s="22" t="str">
        <f>IF(ISBLANK(invoer_woningen!E36)=TRUE,"",((invoer_woningen!J36*kengetallen_woningen!$C$3)+((invoer_woningen!K36-invoer_woningen!L36)*kengetallen_woningen!$C$4))/1000)</f>
        <v/>
      </c>
      <c r="C36" s="36" t="str">
        <f>IF(ISBLANK(invoer_woningen!E36)=TRUE,"",B36*30*invoer_woningen!$E36)</f>
        <v/>
      </c>
      <c r="D36" s="36" t="str">
        <f>IF(Z36&lt;1,"",30*((invoer_woningen!J36*kengetallen_woningen!$I$3)+((invoer_woningen!K36-invoer_woningen!L36)*kengetallen_woningen!$I$4)+invoer_woningen!O36)*invoer_woningen!$E36)</f>
        <v/>
      </c>
      <c r="E36" s="23" t="str">
        <f>IF(ISBLANK(invoer_woningen!E36)=TRUE,"",((invoer_woningen!N36*kengetallen_woningen!$C$3)+((invoer_woningen!P36-invoer_woningen!Q36)*kengetallen_woningen!$C$4)+(invoer_woningen!O36*kengetallen_woningen!$C$5))/1000)</f>
        <v/>
      </c>
      <c r="F36" s="35" t="str">
        <f>IF(ISBLANK(invoer_woningen!E36)=TRUE,"",E36*30*invoer_woningen!$E36)</f>
        <v/>
      </c>
      <c r="G36" s="35" t="str">
        <f>IF(Z36&lt;1,"",30*((invoer_woningen!N36*kengetallen_woningen!$I$3)+((invoer_woningen!P36-invoer_woningen!Q36)*kengetallen_woningen!$I$4)+invoer_woningen!O36)*invoer_woningen!$E36)</f>
        <v/>
      </c>
      <c r="H36" s="23" t="str">
        <f>IF(ISBLANK(invoer_woningen!E36)=TRUE,"",(SUMIF(invoer_aanpakken!A$3:A$508,invoer_woningen!M36, invoer_aanpakken!G$3:G$508))/1000)</f>
        <v/>
      </c>
      <c r="I36" s="23" t="str">
        <f>IF(ISBLANK(invoer_woningen!E36)=TRUE,"",(SUMIF(invoer_aanpakken!A$3:A$508,invoer_woningen!M36, invoer_aanpakken!F$3:F$508))/1000)</f>
        <v/>
      </c>
      <c r="J36" s="19" t="str">
        <f t="shared" si="1"/>
        <v/>
      </c>
      <c r="K36" s="30" t="str">
        <f t="shared" si="2"/>
        <v/>
      </c>
      <c r="L36" s="30" t="str">
        <f>IF(ISBLANK(invoer_woningen!E36)=TRUE,"",C36-F36)</f>
        <v/>
      </c>
      <c r="M36" s="70" t="str">
        <f>IF(ISBLANK(invoer_woningen!E36)=TRUE,"",(H36-I36))</f>
        <v/>
      </c>
      <c r="N36" s="30" t="str">
        <f>IF(ISBLANK(invoer_woningen!E36)=TRUE,"",M36*invoer_woningen!$E36)</f>
        <v/>
      </c>
      <c r="O36" s="19" t="str">
        <f>IF(ISBLANK(invoer_woningen!E36)=TRUE,"",(C36+(H36*invoer_woningen!E36)-F36-(I36*invoer_woningen!E36))/(C36+(H36*invoer_woningen!E36)))</f>
        <v/>
      </c>
      <c r="P36" s="18" t="str">
        <f>IF(ISBLANK(invoer_woningen!E36)=TRUE,"",IF(O36&lt;0.5,0,MIN(15000,((L36/invoer_woningen!E36)+M36)*120)))</f>
        <v/>
      </c>
      <c r="Q36" s="18" t="str">
        <f>IF(ISBLANK(invoer_woningen!E36)=TRUE,"",P36*invoer_woningen!E36)</f>
        <v/>
      </c>
      <c r="S36" s="38" t="str">
        <f>IF(Z36&lt;1,"",invoer_woningen!R36)</f>
        <v/>
      </c>
      <c r="T36" s="38" t="str">
        <f>IF(ISBLANK(invoer_woningen!E36)=TRUE,"",(K36/1000)*((VLOOKUP(_xlfn.CONCAT(invoer_woningen!B36," ",invoer_woningen!C36," ",invoer_woningen!D36),kengetallen_woningen!H$25:K$264,4,FALSE))-invoer_woningen!E36))</f>
        <v/>
      </c>
      <c r="V36" s="123" t="str">
        <f>IF(ISERR(kengetallen_energielasten!G54)=TRUE,"",kengetallen_energielasten!G54)</f>
        <v/>
      </c>
      <c r="W36" s="123" t="str">
        <f>IF(ISBLANK(invoer_woningen!E36)=TRUE,"",IF(ISERR(kengetallen_energielasten!I93)=TRUE,"nnb",kengetallen_energielasten!I93))</f>
        <v/>
      </c>
      <c r="X36" s="123" t="str">
        <f>IF(ISBLANK(invoer_woningen!E36)=TRUE,"",IF(W36=0,"nnb",W36-V36))</f>
        <v/>
      </c>
      <c r="Y36" s="121" t="str">
        <f>IF(ISBLANK(invoer_woningen!E36)=TRUE,"",IF(X36="nnb","nnb",(W36-V36)/V36))</f>
        <v/>
      </c>
      <c r="Z36" s="2">
        <f>IF(O36&gt;=0.5,invoer_woningen!E36,0)</f>
        <v>0</v>
      </c>
      <c r="AA36" s="2">
        <f>IF(O36&gt;=0.5,invoer_woningen!F36,0)</f>
        <v>0</v>
      </c>
    </row>
    <row r="37" spans="1:27" outlineLevel="1" x14ac:dyDescent="0.3">
      <c r="A37" s="1" t="s">
        <v>334</v>
      </c>
      <c r="B37" s="22" t="str">
        <f>IF(ISBLANK(invoer_woningen!E37)=TRUE,"",((invoer_woningen!J37*kengetallen_woningen!$C$3)+((invoer_woningen!K37-invoer_woningen!L37)*kengetallen_woningen!$C$4))/1000)</f>
        <v/>
      </c>
      <c r="C37" s="36" t="str">
        <f>IF(ISBLANK(invoer_woningen!E37)=TRUE,"",B37*30*invoer_woningen!$E37)</f>
        <v/>
      </c>
      <c r="D37" s="36" t="str">
        <f>IF(Z37&lt;1,"",30*((invoer_woningen!J37*kengetallen_woningen!$I$3)+((invoer_woningen!K37-invoer_woningen!L37)*kengetallen_woningen!$I$4)+invoer_woningen!O37)*invoer_woningen!$E37)</f>
        <v/>
      </c>
      <c r="E37" s="23" t="str">
        <f>IF(ISBLANK(invoer_woningen!E37)=TRUE,"",((invoer_woningen!N37*kengetallen_woningen!$C$3)+((invoer_woningen!P37-invoer_woningen!Q37)*kengetallen_woningen!$C$4)+(invoer_woningen!O37*kengetallen_woningen!$C$5))/1000)</f>
        <v/>
      </c>
      <c r="F37" s="35" t="str">
        <f>IF(ISBLANK(invoer_woningen!E37)=TRUE,"",E37*30*invoer_woningen!$E37)</f>
        <v/>
      </c>
      <c r="G37" s="35" t="str">
        <f>IF(Z37&lt;1,"",30*((invoer_woningen!N37*kengetallen_woningen!$I$3)+((invoer_woningen!P37-invoer_woningen!Q37)*kengetallen_woningen!$I$4)+invoer_woningen!O37)*invoer_woningen!$E37)</f>
        <v/>
      </c>
      <c r="H37" s="23" t="str">
        <f>IF(ISBLANK(invoer_woningen!E37)=TRUE,"",(SUMIF(invoer_aanpakken!A$3:A$508,invoer_woningen!M37, invoer_aanpakken!G$3:G$508))/1000)</f>
        <v/>
      </c>
      <c r="I37" s="23" t="str">
        <f>IF(ISBLANK(invoer_woningen!E37)=TRUE,"",(SUMIF(invoer_aanpakken!A$3:A$508,invoer_woningen!M37, invoer_aanpakken!F$3:F$508))/1000)</f>
        <v/>
      </c>
      <c r="J37" s="19" t="str">
        <f t="shared" si="1"/>
        <v/>
      </c>
      <c r="K37" s="30" t="str">
        <f t="shared" si="2"/>
        <v/>
      </c>
      <c r="L37" s="30" t="str">
        <f>IF(ISBLANK(invoer_woningen!E37)=TRUE,"",C37-F37)</f>
        <v/>
      </c>
      <c r="M37" s="70" t="str">
        <f>IF(ISBLANK(invoer_woningen!E37)=TRUE,"",(H37-I37))</f>
        <v/>
      </c>
      <c r="N37" s="30" t="str">
        <f>IF(ISBLANK(invoer_woningen!E37)=TRUE,"",M37*invoer_woningen!$E37)</f>
        <v/>
      </c>
      <c r="O37" s="19" t="str">
        <f>IF(ISBLANK(invoer_woningen!E37)=TRUE,"",(C37+(H37*invoer_woningen!E37)-F37-(I37*invoer_woningen!E37))/(C37+(H37*invoer_woningen!E37)))</f>
        <v/>
      </c>
      <c r="P37" s="18" t="str">
        <f>IF(ISBLANK(invoer_woningen!E37)=TRUE,"",IF(O37&lt;0.5,0,MIN(15000,((L37/invoer_woningen!E37)+M37)*120)))</f>
        <v/>
      </c>
      <c r="Q37" s="18" t="str">
        <f>IF(ISBLANK(invoer_woningen!E37)=TRUE,"",P37*invoer_woningen!E37)</f>
        <v/>
      </c>
      <c r="S37" s="38" t="str">
        <f>IF(Z37&lt;1,"",invoer_woningen!R37)</f>
        <v/>
      </c>
      <c r="T37" s="38" t="str">
        <f>IF(ISBLANK(invoer_woningen!E37)=TRUE,"",(K37/1000)*((VLOOKUP(_xlfn.CONCAT(invoer_woningen!B37," ",invoer_woningen!C37," ",invoer_woningen!D37),kengetallen_woningen!H$25:K$264,4,FALSE))-invoer_woningen!E37))</f>
        <v/>
      </c>
      <c r="V37" s="123" t="str">
        <f>IF(ISERR(kengetallen_energielasten!G55)=TRUE,"",kengetallen_energielasten!G55)</f>
        <v/>
      </c>
      <c r="W37" s="123" t="str">
        <f>IF(ISBLANK(invoer_woningen!E37)=TRUE,"",IF(ISERR(kengetallen_energielasten!I94)=TRUE,"nnb",kengetallen_energielasten!I94))</f>
        <v/>
      </c>
      <c r="X37" s="123" t="str">
        <f>IF(ISBLANK(invoer_woningen!E37)=TRUE,"",IF(W37=0,"nnb",W37-V37))</f>
        <v/>
      </c>
      <c r="Y37" s="121" t="str">
        <f>IF(ISBLANK(invoer_woningen!E37)=TRUE,"",IF(X37="nnb","nnb",(W37-V37)/V37))</f>
        <v/>
      </c>
      <c r="Z37" s="2">
        <f>IF(O37&gt;=0.5,invoer_woningen!E37,0)</f>
        <v>0</v>
      </c>
      <c r="AA37" s="2">
        <f>IF(O37&gt;=0.5,invoer_woningen!F37,0)</f>
        <v>0</v>
      </c>
    </row>
    <row r="38" spans="1:27" x14ac:dyDescent="0.3">
      <c r="B38" s="24"/>
      <c r="C38" s="24"/>
      <c r="D38" s="24"/>
      <c r="E38" s="24"/>
      <c r="F38" s="24"/>
      <c r="G38" s="24"/>
      <c r="H38" s="24"/>
      <c r="I38" s="24"/>
      <c r="J38" s="24"/>
      <c r="K38" s="24"/>
      <c r="L38" s="24"/>
      <c r="M38" s="24"/>
      <c r="N38" s="24"/>
      <c r="T38" s="24"/>
    </row>
    <row r="39" spans="1:27" x14ac:dyDescent="0.3">
      <c r="A39" s="1" t="s">
        <v>263</v>
      </c>
      <c r="B39" s="25">
        <f>IF(SUM(invoer_woningen!E4:E37)=0,"",(SUMPRODUCT(B4:B37,Z4:Z37))/SUM(Z4:Z37))</f>
        <v>2.3545042900000004</v>
      </c>
      <c r="C39" s="30">
        <f>IF(SUM(invoer_woningen!E4:E37)=0,"",B39*30*$D42)</f>
        <v>42381.077220000006</v>
      </c>
      <c r="D39" s="30">
        <f>IF(SUM(invoer_woningen!E4:E37)=0,"",SUM(D4:D37))</f>
        <v>780886.2</v>
      </c>
      <c r="E39" s="25">
        <f>IF(SUM(invoer_woningen!E4:E37)=0,"",(SUMPRODUCT(E4:E37,Z4:Z37))/SUM(Z4:Z37))</f>
        <v>0.45900000000000007</v>
      </c>
      <c r="F39" s="30">
        <f>IF(SUM(invoer_woningen!E4:E37)=0,"",E39*30*$D42)</f>
        <v>8262.0000000000018</v>
      </c>
      <c r="G39" s="30">
        <f>IF(SUM(invoer_woningen!E4:E37)=0,"",SUM(G4:G37))</f>
        <v>126846</v>
      </c>
      <c r="H39" s="25">
        <f>IF(SUM(invoer_woningen!$E4:$E37)=0,"",(SUMPRODUCT(H4:H37,Z4:Z37))/SUM(Z4:Z37))</f>
        <v>12.0730557743912</v>
      </c>
      <c r="I39" s="25">
        <f>IF(SUM(invoer_woningen!$E4:$E37)=0,"",(SUMPRODUCT(I4:I37,Z4:Z37))/SUM(Z4:Z37))</f>
        <v>9.9544124092632948</v>
      </c>
      <c r="J39" s="19">
        <f>IF(SUM(invoer_woningen!E4:E37)=0,"",K39/D39)</f>
        <v>0.8375614782281976</v>
      </c>
      <c r="K39" s="30">
        <f>IF(SUM(invoer_woningen!E4:E37)=0,"",SUM(K4:K37))</f>
        <v>654040.19999999995</v>
      </c>
      <c r="L39" s="30">
        <f>IF(SUM(invoer_woningen!E4:E37)=0,"",(C39-F39))</f>
        <v>34119.077220000006</v>
      </c>
      <c r="M39" s="25">
        <f>IF(SUM(invoer_woningen!$E4:$E37)=0,"",(SUMPRODUCT(M4:M37,Z4:Z37))/SUM(Z4:Z37))</f>
        <v>2.1186433651279057</v>
      </c>
      <c r="N39" s="30">
        <f>IF(SUM(invoer_woningen!E4:E37)=0,"",M39*D42)</f>
        <v>1271.1860190767434</v>
      </c>
      <c r="O39" s="19">
        <f>IF(SUM(invoer_woningen!E4:E37)=0,"",(C39+(H39*D42)-F39-(I39*D42))/(C39+(H39*D42)))</f>
        <v>0.71315520271625554</v>
      </c>
      <c r="P39" s="11"/>
      <c r="T39" s="30">
        <f>IF(SUM(invoer_woningen!$E$4:$E$37)=0,"",SUM(T4:T37))</f>
        <v>46253585.459999993</v>
      </c>
      <c r="V39" s="123">
        <f>IF(SUM(invoer_woningen!$E4:$E37)=0,"",(SUMPRODUCT(V4:V37,Z4:Z37)))</f>
        <v>1117786</v>
      </c>
      <c r="W39" s="123">
        <f>IF(SUM(invoer_woningen!$E4:$E37)=0,"",(SUMPRODUCT(W4:W37,Z4:Z37)))</f>
        <v>414066</v>
      </c>
      <c r="X39" s="123">
        <f>IF(SUM(invoer_woningen!$E4:$E37)=0,"",(SUMPRODUCT(X4:X37,Z4:Z37)))</f>
        <v>-703720</v>
      </c>
      <c r="Y39" s="19">
        <f>IF(SUM(invoer_woningen!$E4:$E37)=0,"",(SUMPRODUCT(Y4:Y37,Z4:Z37))/SUM(Z4:Z37))</f>
        <v>-0.62819553162275177</v>
      </c>
    </row>
    <row r="40" spans="1:27" x14ac:dyDescent="0.3">
      <c r="B40" s="24"/>
      <c r="C40" s="37"/>
      <c r="D40" s="37">
        <f>IF(SUM(invoer_woningen!E4:E37)=0,"",D39/SUM(Z4:Z37))</f>
        <v>1301.4769999999999</v>
      </c>
      <c r="E40" s="24"/>
      <c r="F40" s="37"/>
      <c r="G40" s="37">
        <f>IF(SUM(invoer_woningen!E4:E37)=0,"",G39/SUM(Z4:Z37))</f>
        <v>211.41</v>
      </c>
      <c r="H40" s="37"/>
      <c r="I40" s="37"/>
      <c r="J40" s="37"/>
      <c r="K40" s="37">
        <f>IF(SUM(invoer_woningen!E4:E37)=0,"",K39/SUM(Z4:Z37))</f>
        <v>1090.067</v>
      </c>
      <c r="L40" s="37"/>
      <c r="M40" s="37"/>
      <c r="N40" s="37"/>
      <c r="O40" s="2" t="s">
        <v>310</v>
      </c>
      <c r="P40" s="11"/>
    </row>
    <row r="42" spans="1:27" x14ac:dyDescent="0.3">
      <c r="A42" s="14" t="s">
        <v>6</v>
      </c>
      <c r="D42" s="91">
        <f>SUM(Z4:Z37)</f>
        <v>600</v>
      </c>
      <c r="E42" s="2" t="s">
        <v>262</v>
      </c>
    </row>
    <row r="43" spans="1:27" x14ac:dyDescent="0.3">
      <c r="A43" s="15" t="s">
        <v>7</v>
      </c>
      <c r="D43" s="7">
        <f>SUM(AA4:AA37)</f>
        <v>0</v>
      </c>
    </row>
    <row r="44" spans="1:27" x14ac:dyDescent="0.3">
      <c r="A44" s="15" t="s">
        <v>256</v>
      </c>
      <c r="D44" s="7">
        <f>SUMIF(invoer_woningen!I4:I37,"Eigenaar is onderdeel van consortium",Z4:Z37)</f>
        <v>600</v>
      </c>
      <c r="E44" s="2" t="s">
        <v>286</v>
      </c>
    </row>
    <row r="45" spans="1:27" x14ac:dyDescent="0.3">
      <c r="A45" s="15"/>
      <c r="H45" s="97"/>
    </row>
    <row r="46" spans="1:27" x14ac:dyDescent="0.3">
      <c r="A46" s="14" t="s">
        <v>258</v>
      </c>
    </row>
    <row r="47" spans="1:27" x14ac:dyDescent="0.3">
      <c r="A47" s="15" t="s">
        <v>43</v>
      </c>
      <c r="D47" s="19">
        <f>J39</f>
        <v>0.8375614782281976</v>
      </c>
      <c r="E47" s="2" t="s">
        <v>317</v>
      </c>
    </row>
    <row r="48" spans="1:27" x14ac:dyDescent="0.3">
      <c r="A48" s="15" t="s">
        <v>43</v>
      </c>
      <c r="D48" s="30">
        <f>K39</f>
        <v>654040.19999999995</v>
      </c>
      <c r="E48" s="2" t="s">
        <v>96</v>
      </c>
      <c r="G48" s="90"/>
    </row>
    <row r="49" spans="1:5" x14ac:dyDescent="0.3">
      <c r="A49" s="15"/>
    </row>
    <row r="50" spans="1:5" x14ac:dyDescent="0.3">
      <c r="A50" s="14" t="s">
        <v>259</v>
      </c>
    </row>
    <row r="51" spans="1:5" x14ac:dyDescent="0.3">
      <c r="A51" s="15" t="s">
        <v>313</v>
      </c>
      <c r="D51" s="17">
        <f>O39</f>
        <v>0.71315520271625554</v>
      </c>
      <c r="E51" s="2" t="s">
        <v>316</v>
      </c>
    </row>
    <row r="52" spans="1:5" x14ac:dyDescent="0.3">
      <c r="A52" s="15" t="s">
        <v>313</v>
      </c>
      <c r="D52" s="30">
        <f>L39+N39</f>
        <v>35390.263239076747</v>
      </c>
      <c r="E52" s="2" t="s">
        <v>312</v>
      </c>
    </row>
    <row r="53" spans="1:5" x14ac:dyDescent="0.3">
      <c r="A53" s="15"/>
    </row>
    <row r="54" spans="1:5" x14ac:dyDescent="0.3">
      <c r="A54" s="14" t="s">
        <v>257</v>
      </c>
    </row>
    <row r="55" spans="1:5" x14ac:dyDescent="0.3">
      <c r="A55" s="15" t="s">
        <v>44</v>
      </c>
      <c r="D55" s="18">
        <f>MIN(11000000,(SUM(Q4:Q37)))</f>
        <v>4246831.5886892099</v>
      </c>
      <c r="E55" s="11" t="s">
        <v>45</v>
      </c>
    </row>
    <row r="56" spans="1:5" x14ac:dyDescent="0.3">
      <c r="A56" s="15" t="s">
        <v>311</v>
      </c>
      <c r="D56" s="18">
        <f>IF(SUM(invoer_woningen!E4:E37)=0,0,D55/D42)</f>
        <v>7078.0526478153497</v>
      </c>
      <c r="E56" s="11" t="s">
        <v>45</v>
      </c>
    </row>
    <row r="58" spans="1:5" x14ac:dyDescent="0.3">
      <c r="A58" s="14" t="s">
        <v>260</v>
      </c>
    </row>
    <row r="59" spans="1:5" x14ac:dyDescent="0.3">
      <c r="A59" s="15" t="s">
        <v>46</v>
      </c>
      <c r="D59" s="30">
        <f>IF(SUM(invoer_woningen!E4:E37)=0,0,SUMIF(Z4:Z37,"&gt;0",S4:S37))</f>
        <v>1050</v>
      </c>
      <c r="E59" s="2" t="s">
        <v>47</v>
      </c>
    </row>
    <row r="60" spans="1:5" x14ac:dyDescent="0.3">
      <c r="A60" s="15" t="s">
        <v>306</v>
      </c>
      <c r="D60" s="30">
        <f>IF(SUM(invoer_woningen!E4:E37)=0,0,SUM(kengetallen_woningen!H276:H309))</f>
        <v>198350</v>
      </c>
      <c r="E60" s="2" t="s">
        <v>314</v>
      </c>
    </row>
    <row r="62" spans="1:5" x14ac:dyDescent="0.3">
      <c r="A62" s="14" t="s">
        <v>374</v>
      </c>
    </row>
    <row r="63" spans="1:5" x14ac:dyDescent="0.3">
      <c r="A63" s="15" t="s">
        <v>380</v>
      </c>
      <c r="D63" s="124">
        <f>V39</f>
        <v>1117786</v>
      </c>
      <c r="E63" s="2" t="s">
        <v>379</v>
      </c>
    </row>
    <row r="64" spans="1:5" x14ac:dyDescent="0.3">
      <c r="A64" s="15" t="s">
        <v>381</v>
      </c>
      <c r="D64" s="124">
        <f>W39</f>
        <v>414066</v>
      </c>
      <c r="E64" s="2" t="s">
        <v>379</v>
      </c>
    </row>
    <row r="65" spans="1:5" x14ac:dyDescent="0.3">
      <c r="A65" s="15" t="s">
        <v>382</v>
      </c>
      <c r="D65" s="124">
        <f>X39</f>
        <v>-703720</v>
      </c>
      <c r="E65" s="2" t="s">
        <v>379</v>
      </c>
    </row>
  </sheetData>
  <sheetProtection algorithmName="SHA-512" hashValue="EM9DiK7IJFTKx64R1laE160Sz0UEQcoe7JQoFVeUqAu9/ywgiRXaZFzRtBjpl+ZoPKzs73iLpQcjNFyh33k55A==" saltValue="wRip4CaB31Xwa7hmDdZlJw==" spinCount="100000" sheet="1" objects="1" scenarios="1"/>
  <conditionalFormatting sqref="D42">
    <cfRule type="cellIs" dxfId="11" priority="13" operator="between">
      <formula>0</formula>
      <formula>499</formula>
    </cfRule>
    <cfRule type="cellIs" dxfId="10" priority="14" operator="greaterThanOrEqual">
      <formula>500</formula>
    </cfRule>
  </conditionalFormatting>
  <conditionalFormatting sqref="D47">
    <cfRule type="cellIs" dxfId="9" priority="1" operator="lessThan">
      <formula>0.4</formula>
    </cfRule>
    <cfRule type="cellIs" dxfId="8" priority="2" operator="greaterThanOrEqual">
      <formula>0.4</formula>
    </cfRule>
  </conditionalFormatting>
  <conditionalFormatting sqref="D51">
    <cfRule type="cellIs" dxfId="7" priority="3" operator="lessThan">
      <formula>0.5</formula>
    </cfRule>
    <cfRule type="cellIs" dxfId="6" priority="4" operator="greaterThanOrEqual">
      <formula>0.5</formula>
    </cfRule>
  </conditionalFormatting>
  <conditionalFormatting sqref="D60">
    <cfRule type="cellIs" dxfId="5" priority="5" operator="lessThanOrEqual">
      <formula>50000</formula>
    </cfRule>
    <cfRule type="cellIs" dxfId="4" priority="6" operator="greaterThan">
      <formula>50000</formula>
    </cfRule>
  </conditionalFormatting>
  <conditionalFormatting sqref="O4:O37">
    <cfRule type="cellIs" dxfId="3" priority="19" operator="between">
      <formula>0</formula>
      <formula>0.4999</formula>
    </cfRule>
    <cfRule type="cellIs" dxfId="2" priority="20" operator="greaterThanOrEqual">
      <formula>0.5</formula>
    </cfRule>
  </conditionalFormatting>
  <conditionalFormatting sqref="O39">
    <cfRule type="cellIs" dxfId="1" priority="15" operator="lessThan">
      <formula>0.5</formula>
    </cfRule>
    <cfRule type="cellIs" dxfId="0" priority="16" operator="greaterThanOrEqual">
      <formula>0.5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E51A3-DE84-4042-983A-97B1CDB4709D}">
  <dimension ref="A1:AB511"/>
  <sheetViews>
    <sheetView topLeftCell="A230" workbookViewId="0">
      <selection activeCell="C276" sqref="C276"/>
    </sheetView>
  </sheetViews>
  <sheetFormatPr defaultColWidth="8.69921875" defaultRowHeight="13" x14ac:dyDescent="0.3"/>
  <cols>
    <col min="1" max="1" width="20" style="2" customWidth="1"/>
    <col min="2" max="2" width="20.69921875" style="2" customWidth="1"/>
    <col min="3" max="3" width="24.59765625" style="2" bestFit="1" customWidth="1"/>
    <col min="4" max="4" width="17.296875" style="1" customWidth="1"/>
    <col min="5" max="5" width="16.59765625" style="1" customWidth="1"/>
    <col min="6" max="6" width="15.296875" style="2" customWidth="1"/>
    <col min="7" max="7" width="28.59765625" style="2" customWidth="1"/>
    <col min="8" max="8" width="61.3984375" style="2" bestFit="1" customWidth="1"/>
    <col min="9" max="9" width="17.69921875" style="2" bestFit="1" customWidth="1"/>
    <col min="10" max="10" width="21.296875" style="11" customWidth="1"/>
    <col min="11" max="11" width="17.59765625" style="27" customWidth="1"/>
    <col min="12" max="12" width="17.296875" style="27" customWidth="1"/>
    <col min="13" max="13" width="17.69921875" style="2" bestFit="1" customWidth="1"/>
    <col min="14" max="14" width="14.3984375" style="2" customWidth="1"/>
    <col min="15" max="15" width="16.296875" style="2" customWidth="1"/>
    <col min="16" max="16" width="18.296875" style="2" customWidth="1"/>
    <col min="17" max="19" width="8.69921875" style="2"/>
    <col min="20" max="20" width="61.09765625" style="2" customWidth="1"/>
    <col min="21" max="21" width="8.69921875" style="2"/>
    <col min="22" max="22" width="29.09765625" style="2" bestFit="1" customWidth="1"/>
    <col min="23" max="23" width="16.69921875" style="2" customWidth="1"/>
    <col min="24" max="16384" width="8.69921875" style="2"/>
  </cols>
  <sheetData>
    <row r="1" spans="1:28" x14ac:dyDescent="0.3">
      <c r="M1" s="11"/>
    </row>
    <row r="2" spans="1:28" x14ac:dyDescent="0.3">
      <c r="A2" s="4" t="s">
        <v>48</v>
      </c>
      <c r="C2" s="27" t="s">
        <v>79</v>
      </c>
      <c r="M2" s="11"/>
    </row>
    <row r="3" spans="1:28" x14ac:dyDescent="0.3">
      <c r="A3" s="2" t="s">
        <v>49</v>
      </c>
      <c r="B3" s="2" t="s">
        <v>50</v>
      </c>
      <c r="C3" s="1">
        <f>0.183*9.769</f>
        <v>1.7877270000000001</v>
      </c>
      <c r="D3" s="40" t="s">
        <v>78</v>
      </c>
      <c r="I3" s="41">
        <f>35.17/1000</f>
        <v>3.517E-2</v>
      </c>
      <c r="J3" s="2" t="s">
        <v>80</v>
      </c>
      <c r="K3" s="1">
        <f>C3/I3</f>
        <v>50.831020756326417</v>
      </c>
      <c r="L3" s="2" t="s">
        <v>54</v>
      </c>
      <c r="M3" s="27"/>
      <c r="N3" s="11"/>
      <c r="V3" s="26"/>
      <c r="W3" s="26"/>
      <c r="Z3" s="11"/>
      <c r="AA3" s="27"/>
      <c r="AB3" s="27"/>
    </row>
    <row r="4" spans="1:28" x14ac:dyDescent="0.3">
      <c r="A4" s="2" t="s">
        <v>51</v>
      </c>
      <c r="B4" s="2" t="s">
        <v>52</v>
      </c>
      <c r="C4" s="1">
        <v>0.34</v>
      </c>
      <c r="D4" s="40" t="s">
        <v>78</v>
      </c>
      <c r="I4" s="1">
        <f>1.45*3.6/1000</f>
        <v>5.2199999999999998E-3</v>
      </c>
      <c r="J4" s="2" t="s">
        <v>82</v>
      </c>
      <c r="K4" s="1">
        <f>C4/I4</f>
        <v>65.134099616858251</v>
      </c>
      <c r="L4" s="2" t="s">
        <v>54</v>
      </c>
      <c r="M4" s="27"/>
      <c r="N4" s="11"/>
      <c r="Z4" s="11"/>
      <c r="AA4" s="28"/>
      <c r="AB4" s="27"/>
    </row>
    <row r="5" spans="1:28" x14ac:dyDescent="0.3">
      <c r="A5" s="2" t="s">
        <v>53</v>
      </c>
      <c r="B5" s="2" t="s">
        <v>54</v>
      </c>
      <c r="C5" s="1">
        <f>0.17/0.0036</f>
        <v>47.222222222222229</v>
      </c>
      <c r="D5" s="40" t="s">
        <v>78</v>
      </c>
      <c r="I5" s="1">
        <v>1</v>
      </c>
      <c r="J5" s="2" t="s">
        <v>81</v>
      </c>
      <c r="K5" s="1">
        <f>C5</f>
        <v>47.222222222222229</v>
      </c>
      <c r="L5" s="2" t="s">
        <v>54</v>
      </c>
      <c r="M5" s="27"/>
      <c r="N5" s="11"/>
      <c r="V5" s="26"/>
      <c r="Z5" s="11"/>
      <c r="AA5" s="28"/>
      <c r="AB5" s="27"/>
    </row>
    <row r="6" spans="1:28" x14ac:dyDescent="0.3">
      <c r="C6" s="1"/>
      <c r="D6" s="15"/>
      <c r="K6" s="39"/>
    </row>
    <row r="7" spans="1:28" x14ac:dyDescent="0.3">
      <c r="D7" s="15"/>
    </row>
    <row r="8" spans="1:28" x14ac:dyDescent="0.3">
      <c r="A8" s="2" t="s">
        <v>55</v>
      </c>
      <c r="B8" s="2" t="s">
        <v>55</v>
      </c>
      <c r="C8" s="2" t="s">
        <v>55</v>
      </c>
      <c r="D8" s="15"/>
      <c r="E8" s="15" t="s">
        <v>55</v>
      </c>
      <c r="F8" s="2" t="s">
        <v>55</v>
      </c>
      <c r="H8" s="2" t="s">
        <v>55</v>
      </c>
    </row>
    <row r="9" spans="1:28" x14ac:dyDescent="0.3">
      <c r="A9" s="4" t="s">
        <v>3</v>
      </c>
      <c r="B9" s="4" t="s">
        <v>4</v>
      </c>
      <c r="C9" s="4" t="s">
        <v>5</v>
      </c>
      <c r="D9" s="14"/>
      <c r="E9" s="14" t="s">
        <v>85</v>
      </c>
      <c r="F9" s="4" t="s">
        <v>91</v>
      </c>
      <c r="G9" s="4"/>
      <c r="H9" s="14" t="s">
        <v>192</v>
      </c>
    </row>
    <row r="10" spans="1:28" x14ac:dyDescent="0.3">
      <c r="A10" s="2" t="s">
        <v>56</v>
      </c>
      <c r="B10" s="2" t="s">
        <v>57</v>
      </c>
      <c r="C10" s="2" t="s">
        <v>58</v>
      </c>
      <c r="D10" s="15"/>
      <c r="E10" s="15" t="s">
        <v>86</v>
      </c>
      <c r="F10" s="2" t="s">
        <v>92</v>
      </c>
      <c r="H10" s="15">
        <v>1</v>
      </c>
      <c r="L10" s="14" t="s">
        <v>288</v>
      </c>
    </row>
    <row r="11" spans="1:28" x14ac:dyDescent="0.3">
      <c r="A11" s="2" t="s">
        <v>20</v>
      </c>
      <c r="B11" s="2" t="s">
        <v>21</v>
      </c>
      <c r="C11" s="2" t="s">
        <v>18</v>
      </c>
      <c r="D11" s="15"/>
      <c r="E11" s="15" t="s">
        <v>87</v>
      </c>
      <c r="F11" s="2" t="s">
        <v>94</v>
      </c>
      <c r="H11" s="15">
        <v>2</v>
      </c>
      <c r="L11" s="15" t="s">
        <v>295</v>
      </c>
    </row>
    <row r="12" spans="1:28" x14ac:dyDescent="0.3">
      <c r="A12" s="2" t="s">
        <v>59</v>
      </c>
      <c r="B12" s="2" t="s">
        <v>17</v>
      </c>
      <c r="C12" s="2" t="s">
        <v>60</v>
      </c>
      <c r="D12" s="15"/>
      <c r="E12" s="15" t="s">
        <v>88</v>
      </c>
      <c r="F12" s="2" t="s">
        <v>93</v>
      </c>
      <c r="H12" s="15">
        <v>3</v>
      </c>
      <c r="L12" s="15" t="s">
        <v>289</v>
      </c>
    </row>
    <row r="13" spans="1:28" x14ac:dyDescent="0.3">
      <c r="A13" s="2" t="s">
        <v>16</v>
      </c>
      <c r="B13" s="2" t="s">
        <v>61</v>
      </c>
      <c r="C13" s="2" t="s">
        <v>22</v>
      </c>
      <c r="D13" s="15"/>
      <c r="E13" s="15" t="s">
        <v>89</v>
      </c>
      <c r="H13" s="15">
        <v>4</v>
      </c>
      <c r="L13" s="15" t="s">
        <v>296</v>
      </c>
    </row>
    <row r="14" spans="1:28" x14ac:dyDescent="0.3">
      <c r="A14" s="2" t="s">
        <v>62</v>
      </c>
      <c r="B14" s="2" t="s">
        <v>63</v>
      </c>
      <c r="C14" s="2" t="s">
        <v>64</v>
      </c>
      <c r="D14" s="15"/>
      <c r="E14" s="15" t="s">
        <v>90</v>
      </c>
      <c r="H14" s="15">
        <v>5</v>
      </c>
      <c r="L14" s="15" t="s">
        <v>294</v>
      </c>
    </row>
    <row r="15" spans="1:28" x14ac:dyDescent="0.3">
      <c r="B15" s="2" t="s">
        <v>65</v>
      </c>
      <c r="C15" s="2" t="s">
        <v>66</v>
      </c>
      <c r="D15" s="15"/>
      <c r="H15" s="15">
        <v>6</v>
      </c>
      <c r="L15" s="15" t="s">
        <v>290</v>
      </c>
    </row>
    <row r="16" spans="1:28" x14ac:dyDescent="0.3">
      <c r="B16" s="2" t="s">
        <v>67</v>
      </c>
      <c r="D16" s="15"/>
      <c r="H16" s="15">
        <v>7</v>
      </c>
      <c r="L16" s="15" t="s">
        <v>292</v>
      </c>
    </row>
    <row r="17" spans="1:16" x14ac:dyDescent="0.3">
      <c r="B17" s="2" t="s">
        <v>68</v>
      </c>
      <c r="D17" s="15"/>
      <c r="H17" s="15">
        <v>8</v>
      </c>
      <c r="L17" s="15"/>
    </row>
    <row r="18" spans="1:16" x14ac:dyDescent="0.3">
      <c r="D18" s="15"/>
      <c r="H18" s="15">
        <v>9</v>
      </c>
    </row>
    <row r="19" spans="1:16" x14ac:dyDescent="0.3">
      <c r="D19" s="15"/>
      <c r="H19" s="15">
        <v>10</v>
      </c>
    </row>
    <row r="20" spans="1:16" x14ac:dyDescent="0.3">
      <c r="D20" s="15"/>
    </row>
    <row r="21" spans="1:16" x14ac:dyDescent="0.3">
      <c r="D21" s="15"/>
    </row>
    <row r="22" spans="1:16" x14ac:dyDescent="0.3">
      <c r="D22" s="40" t="s">
        <v>69</v>
      </c>
      <c r="E22" s="20"/>
      <c r="F22" s="20"/>
      <c r="H22" s="11"/>
      <c r="I22" s="27"/>
      <c r="J22" s="27"/>
      <c r="K22" s="2"/>
      <c r="L22" s="4" t="s">
        <v>291</v>
      </c>
      <c r="N22" s="4" t="s">
        <v>287</v>
      </c>
    </row>
    <row r="23" spans="1:16" x14ac:dyDescent="0.3">
      <c r="D23" s="20" t="s">
        <v>13</v>
      </c>
      <c r="E23" s="20" t="s">
        <v>14</v>
      </c>
      <c r="F23" s="20" t="s">
        <v>71</v>
      </c>
      <c r="H23" s="11" t="s">
        <v>70</v>
      </c>
      <c r="I23" s="27" t="s">
        <v>70</v>
      </c>
      <c r="J23" s="27" t="s">
        <v>70</v>
      </c>
      <c r="K23" s="27" t="s">
        <v>70</v>
      </c>
      <c r="L23" s="2"/>
    </row>
    <row r="24" spans="1:16" x14ac:dyDescent="0.3">
      <c r="A24" s="4" t="s">
        <v>3</v>
      </c>
      <c r="B24" s="4" t="s">
        <v>4</v>
      </c>
      <c r="C24" s="4" t="s">
        <v>5</v>
      </c>
      <c r="D24" s="21" t="s">
        <v>8</v>
      </c>
      <c r="E24" s="21" t="s">
        <v>9</v>
      </c>
      <c r="F24" s="21" t="s">
        <v>6</v>
      </c>
      <c r="H24" s="4" t="s">
        <v>2</v>
      </c>
      <c r="I24" s="21" t="s">
        <v>8</v>
      </c>
      <c r="J24" s="21" t="s">
        <v>9</v>
      </c>
      <c r="K24" s="21" t="s">
        <v>6</v>
      </c>
      <c r="L24" s="4" t="s">
        <v>8</v>
      </c>
      <c r="M24" s="4" t="s">
        <v>9</v>
      </c>
      <c r="N24" s="4" t="s">
        <v>8</v>
      </c>
      <c r="O24" s="4" t="s">
        <v>9</v>
      </c>
      <c r="P24" s="4" t="s">
        <v>293</v>
      </c>
    </row>
    <row r="25" spans="1:16" x14ac:dyDescent="0.3">
      <c r="A25" s="2" t="s">
        <v>59</v>
      </c>
      <c r="B25" s="2" t="s">
        <v>57</v>
      </c>
      <c r="C25" s="2" t="s">
        <v>22</v>
      </c>
      <c r="D25" s="1">
        <v>1650</v>
      </c>
      <c r="E25" s="1">
        <v>3230</v>
      </c>
      <c r="F25" s="2">
        <v>62500</v>
      </c>
      <c r="H25" s="11" t="str">
        <f t="shared" ref="H25:H88" si="0">_xlfn.CONCAT(A25," ",B25," ",C25)</f>
        <v>2/1 Kapwoning 1200 tot en met 1945 100 m2 tot 150 m2</v>
      </c>
      <c r="I25" s="29">
        <f t="shared" ref="I25:I88" si="1">D25</f>
        <v>1650</v>
      </c>
      <c r="J25" s="29">
        <f t="shared" ref="J25:J88" si="2">E25</f>
        <v>3230</v>
      </c>
      <c r="K25" s="29">
        <f t="shared" ref="K25:K88" si="3">F25</f>
        <v>62500</v>
      </c>
      <c r="L25" s="90">
        <f t="shared" ref="L25:L66" si="4">I25-N25</f>
        <v>1567.5</v>
      </c>
      <c r="M25" s="2">
        <v>0</v>
      </c>
      <c r="N25" s="2">
        <f t="shared" ref="N25:N66" si="5">I25*0.05</f>
        <v>82.5</v>
      </c>
      <c r="O25" s="90">
        <f t="shared" ref="O25:O66" si="6">J25</f>
        <v>3230</v>
      </c>
      <c r="P25" s="90">
        <f t="shared" ref="P25:P88" si="7">(N25*8.8)+O25</f>
        <v>3956</v>
      </c>
    </row>
    <row r="26" spans="1:16" x14ac:dyDescent="0.3">
      <c r="A26" s="2" t="s">
        <v>59</v>
      </c>
      <c r="B26" s="2" t="s">
        <v>57</v>
      </c>
      <c r="C26" s="2" t="s">
        <v>64</v>
      </c>
      <c r="D26" s="1">
        <v>2070</v>
      </c>
      <c r="E26" s="1">
        <v>3920</v>
      </c>
      <c r="F26" s="2">
        <v>37500</v>
      </c>
      <c r="H26" s="11" t="str">
        <f t="shared" si="0"/>
        <v>2/1 Kapwoning 1200 tot en met 1945 150 m2 tot 250 m2</v>
      </c>
      <c r="I26" s="29">
        <f t="shared" si="1"/>
        <v>2070</v>
      </c>
      <c r="J26" s="29">
        <f t="shared" si="2"/>
        <v>3920</v>
      </c>
      <c r="K26" s="29">
        <f t="shared" si="3"/>
        <v>37500</v>
      </c>
      <c r="L26" s="90">
        <f t="shared" si="4"/>
        <v>1966.5</v>
      </c>
      <c r="M26" s="2">
        <v>0</v>
      </c>
      <c r="N26" s="2">
        <f t="shared" si="5"/>
        <v>103.5</v>
      </c>
      <c r="O26" s="90">
        <f t="shared" si="6"/>
        <v>3920</v>
      </c>
      <c r="P26" s="90">
        <f t="shared" si="7"/>
        <v>4830.8</v>
      </c>
    </row>
    <row r="27" spans="1:16" x14ac:dyDescent="0.3">
      <c r="A27" s="2" t="s">
        <v>59</v>
      </c>
      <c r="B27" s="2" t="s">
        <v>57</v>
      </c>
      <c r="C27" s="2" t="s">
        <v>58</v>
      </c>
      <c r="D27" s="1">
        <v>1240</v>
      </c>
      <c r="E27" s="1">
        <v>2430</v>
      </c>
      <c r="F27" s="2">
        <v>750</v>
      </c>
      <c r="H27" s="11" t="str">
        <f t="shared" si="0"/>
        <v>2/1 Kapwoning 1200 tot en met 1945 2 m2 tot 50 m2</v>
      </c>
      <c r="I27" s="29">
        <f t="shared" si="1"/>
        <v>1240</v>
      </c>
      <c r="J27" s="29">
        <f t="shared" si="2"/>
        <v>2430</v>
      </c>
      <c r="K27" s="29">
        <f t="shared" si="3"/>
        <v>750</v>
      </c>
      <c r="L27" s="90">
        <f t="shared" si="4"/>
        <v>1178</v>
      </c>
      <c r="M27" s="2">
        <v>0</v>
      </c>
      <c r="N27" s="2">
        <f t="shared" si="5"/>
        <v>62</v>
      </c>
      <c r="O27" s="90">
        <f t="shared" si="6"/>
        <v>2430</v>
      </c>
      <c r="P27" s="90">
        <f t="shared" si="7"/>
        <v>2975.6</v>
      </c>
    </row>
    <row r="28" spans="1:16" x14ac:dyDescent="0.3">
      <c r="A28" s="2" t="s">
        <v>59</v>
      </c>
      <c r="B28" s="2" t="s">
        <v>57</v>
      </c>
      <c r="C28" s="2" t="s">
        <v>66</v>
      </c>
      <c r="D28" s="1">
        <v>2560</v>
      </c>
      <c r="E28" s="1">
        <v>4660</v>
      </c>
      <c r="F28" s="2">
        <v>17500</v>
      </c>
      <c r="H28" s="11" t="str">
        <f t="shared" si="0"/>
        <v>2/1 Kapwoning 1200 tot en met 1945 250 m2 tot 10.000m2</v>
      </c>
      <c r="I28" s="29">
        <f t="shared" si="1"/>
        <v>2560</v>
      </c>
      <c r="J28" s="29">
        <f t="shared" si="2"/>
        <v>4660</v>
      </c>
      <c r="K28" s="29">
        <f t="shared" si="3"/>
        <v>17500</v>
      </c>
      <c r="L28" s="90">
        <f t="shared" si="4"/>
        <v>2432</v>
      </c>
      <c r="M28" s="2">
        <v>0</v>
      </c>
      <c r="N28" s="2">
        <f t="shared" si="5"/>
        <v>128</v>
      </c>
      <c r="O28" s="90">
        <f t="shared" si="6"/>
        <v>4660</v>
      </c>
      <c r="P28" s="90">
        <f t="shared" si="7"/>
        <v>5786.4</v>
      </c>
    </row>
    <row r="29" spans="1:16" x14ac:dyDescent="0.3">
      <c r="A29" s="2" t="s">
        <v>59</v>
      </c>
      <c r="B29" s="2" t="s">
        <v>57</v>
      </c>
      <c r="C29" s="2" t="s">
        <v>18</v>
      </c>
      <c r="D29" s="1">
        <v>1280</v>
      </c>
      <c r="E29" s="1">
        <v>2420</v>
      </c>
      <c r="F29" s="2">
        <v>7500</v>
      </c>
      <c r="H29" s="11" t="str">
        <f t="shared" si="0"/>
        <v>2/1 Kapwoning 1200 tot en met 1945 50 m2 tot 75 m2</v>
      </c>
      <c r="I29" s="29">
        <f t="shared" si="1"/>
        <v>1280</v>
      </c>
      <c r="J29" s="29">
        <f t="shared" si="2"/>
        <v>2420</v>
      </c>
      <c r="K29" s="29">
        <f t="shared" si="3"/>
        <v>7500</v>
      </c>
      <c r="L29" s="90">
        <f t="shared" si="4"/>
        <v>1216</v>
      </c>
      <c r="M29" s="2">
        <v>0</v>
      </c>
      <c r="N29" s="2">
        <f t="shared" si="5"/>
        <v>64</v>
      </c>
      <c r="O29" s="90">
        <f t="shared" si="6"/>
        <v>2420</v>
      </c>
      <c r="P29" s="90">
        <f t="shared" si="7"/>
        <v>2983.2</v>
      </c>
    </row>
    <row r="30" spans="1:16" x14ac:dyDescent="0.3">
      <c r="A30" s="2" t="s">
        <v>59</v>
      </c>
      <c r="B30" s="2" t="s">
        <v>57</v>
      </c>
      <c r="C30" s="2" t="s">
        <v>60</v>
      </c>
      <c r="D30" s="1">
        <v>1430</v>
      </c>
      <c r="E30" s="1">
        <v>2750</v>
      </c>
      <c r="F30" s="2">
        <v>37500</v>
      </c>
      <c r="H30" s="11" t="str">
        <f t="shared" si="0"/>
        <v>2/1 Kapwoning 1200 tot en met 1945 75 m2 tot 100 m2</v>
      </c>
      <c r="I30" s="29">
        <f t="shared" si="1"/>
        <v>1430</v>
      </c>
      <c r="J30" s="29">
        <f t="shared" si="2"/>
        <v>2750</v>
      </c>
      <c r="K30" s="29">
        <f t="shared" si="3"/>
        <v>37500</v>
      </c>
      <c r="L30" s="90">
        <f t="shared" si="4"/>
        <v>1358.5</v>
      </c>
      <c r="M30" s="2">
        <v>0</v>
      </c>
      <c r="N30" s="2">
        <f t="shared" si="5"/>
        <v>71.5</v>
      </c>
      <c r="O30" s="90">
        <f t="shared" si="6"/>
        <v>2750</v>
      </c>
      <c r="P30" s="90">
        <f t="shared" si="7"/>
        <v>3379.2</v>
      </c>
    </row>
    <row r="31" spans="1:16" x14ac:dyDescent="0.3">
      <c r="A31" s="2" t="s">
        <v>59</v>
      </c>
      <c r="B31" s="2" t="s">
        <v>21</v>
      </c>
      <c r="C31" s="2" t="s">
        <v>22</v>
      </c>
      <c r="D31" s="1">
        <v>1540</v>
      </c>
      <c r="E31" s="1">
        <v>3090</v>
      </c>
      <c r="F31" s="2">
        <v>62500</v>
      </c>
      <c r="H31" s="11" t="str">
        <f t="shared" si="0"/>
        <v>2/1 Kapwoning 1946 tot en met 1964 100 m2 tot 150 m2</v>
      </c>
      <c r="I31" s="29">
        <f t="shared" si="1"/>
        <v>1540</v>
      </c>
      <c r="J31" s="29">
        <f t="shared" si="2"/>
        <v>3090</v>
      </c>
      <c r="K31" s="29">
        <f t="shared" si="3"/>
        <v>62500</v>
      </c>
      <c r="L31" s="90">
        <f t="shared" si="4"/>
        <v>1463</v>
      </c>
      <c r="M31" s="2">
        <v>0</v>
      </c>
      <c r="N31" s="2">
        <f t="shared" si="5"/>
        <v>77</v>
      </c>
      <c r="O31" s="90">
        <f t="shared" si="6"/>
        <v>3090</v>
      </c>
      <c r="P31" s="90">
        <f t="shared" si="7"/>
        <v>3767.6</v>
      </c>
    </row>
    <row r="32" spans="1:16" x14ac:dyDescent="0.3">
      <c r="A32" s="2" t="s">
        <v>59</v>
      </c>
      <c r="B32" s="2" t="s">
        <v>21</v>
      </c>
      <c r="C32" s="2" t="s">
        <v>64</v>
      </c>
      <c r="D32" s="1">
        <v>1890</v>
      </c>
      <c r="E32" s="1">
        <v>3790</v>
      </c>
      <c r="F32" s="2">
        <v>17500</v>
      </c>
      <c r="H32" s="11" t="str">
        <f t="shared" si="0"/>
        <v>2/1 Kapwoning 1946 tot en met 1964 150 m2 tot 250 m2</v>
      </c>
      <c r="I32" s="29">
        <f t="shared" si="1"/>
        <v>1890</v>
      </c>
      <c r="J32" s="29">
        <f t="shared" si="2"/>
        <v>3790</v>
      </c>
      <c r="K32" s="29">
        <f t="shared" si="3"/>
        <v>17500</v>
      </c>
      <c r="L32" s="90">
        <f t="shared" si="4"/>
        <v>1795.5</v>
      </c>
      <c r="M32" s="2">
        <v>0</v>
      </c>
      <c r="N32" s="2">
        <f t="shared" si="5"/>
        <v>94.5</v>
      </c>
      <c r="O32" s="90">
        <f t="shared" si="6"/>
        <v>3790</v>
      </c>
      <c r="P32" s="90">
        <f t="shared" si="7"/>
        <v>4621.6000000000004</v>
      </c>
    </row>
    <row r="33" spans="1:16" x14ac:dyDescent="0.3">
      <c r="A33" s="2" t="s">
        <v>59</v>
      </c>
      <c r="B33" s="2" t="s">
        <v>21</v>
      </c>
      <c r="C33" s="2" t="s">
        <v>58</v>
      </c>
      <c r="D33" s="1">
        <v>1340</v>
      </c>
      <c r="E33" s="1">
        <v>2320</v>
      </c>
      <c r="F33" s="2">
        <v>275</v>
      </c>
      <c r="H33" s="11" t="str">
        <f t="shared" si="0"/>
        <v>2/1 Kapwoning 1946 tot en met 1964 2 m2 tot 50 m2</v>
      </c>
      <c r="I33" s="29">
        <f t="shared" si="1"/>
        <v>1340</v>
      </c>
      <c r="J33" s="29">
        <f t="shared" si="2"/>
        <v>2320</v>
      </c>
      <c r="K33" s="29">
        <f t="shared" si="3"/>
        <v>275</v>
      </c>
      <c r="L33" s="90">
        <f t="shared" si="4"/>
        <v>1273</v>
      </c>
      <c r="M33" s="2">
        <v>0</v>
      </c>
      <c r="N33" s="2">
        <f t="shared" si="5"/>
        <v>67</v>
      </c>
      <c r="O33" s="90">
        <f t="shared" si="6"/>
        <v>2320</v>
      </c>
      <c r="P33" s="90">
        <f t="shared" si="7"/>
        <v>2909.6</v>
      </c>
    </row>
    <row r="34" spans="1:16" x14ac:dyDescent="0.3">
      <c r="A34" s="2" t="s">
        <v>59</v>
      </c>
      <c r="B34" s="2" t="s">
        <v>21</v>
      </c>
      <c r="C34" s="2" t="s">
        <v>66</v>
      </c>
      <c r="D34" s="1">
        <v>2220</v>
      </c>
      <c r="E34" s="1">
        <v>4260</v>
      </c>
      <c r="F34" s="2">
        <v>3750</v>
      </c>
      <c r="H34" s="11" t="str">
        <f t="shared" si="0"/>
        <v>2/1 Kapwoning 1946 tot en met 1964 250 m2 tot 10.000m2</v>
      </c>
      <c r="I34" s="29">
        <f t="shared" si="1"/>
        <v>2220</v>
      </c>
      <c r="J34" s="29">
        <f t="shared" si="2"/>
        <v>4260</v>
      </c>
      <c r="K34" s="29">
        <f t="shared" si="3"/>
        <v>3750</v>
      </c>
      <c r="L34" s="90">
        <f t="shared" si="4"/>
        <v>2109</v>
      </c>
      <c r="M34" s="2">
        <v>0</v>
      </c>
      <c r="N34" s="2">
        <f t="shared" si="5"/>
        <v>111</v>
      </c>
      <c r="O34" s="90">
        <f t="shared" si="6"/>
        <v>4260</v>
      </c>
      <c r="P34" s="90">
        <f t="shared" si="7"/>
        <v>5236.8</v>
      </c>
    </row>
    <row r="35" spans="1:16" x14ac:dyDescent="0.3">
      <c r="A35" s="2" t="s">
        <v>59</v>
      </c>
      <c r="B35" s="2" t="s">
        <v>21</v>
      </c>
      <c r="C35" s="2" t="s">
        <v>18</v>
      </c>
      <c r="D35" s="1">
        <v>1290</v>
      </c>
      <c r="E35" s="1">
        <v>2270</v>
      </c>
      <c r="F35" s="2">
        <v>7500</v>
      </c>
      <c r="H35" s="11" t="str">
        <f t="shared" si="0"/>
        <v>2/1 Kapwoning 1946 tot en met 1964 50 m2 tot 75 m2</v>
      </c>
      <c r="I35" s="29">
        <f t="shared" si="1"/>
        <v>1290</v>
      </c>
      <c r="J35" s="29">
        <f t="shared" si="2"/>
        <v>2270</v>
      </c>
      <c r="K35" s="29">
        <f t="shared" si="3"/>
        <v>7500</v>
      </c>
      <c r="L35" s="90">
        <f t="shared" si="4"/>
        <v>1225.5</v>
      </c>
      <c r="M35" s="2">
        <v>0</v>
      </c>
      <c r="N35" s="2">
        <f t="shared" si="5"/>
        <v>64.5</v>
      </c>
      <c r="O35" s="90">
        <f t="shared" si="6"/>
        <v>2270</v>
      </c>
      <c r="P35" s="90">
        <f t="shared" si="7"/>
        <v>2837.6</v>
      </c>
    </row>
    <row r="36" spans="1:16" x14ac:dyDescent="0.3">
      <c r="A36" s="2" t="s">
        <v>59</v>
      </c>
      <c r="B36" s="2" t="s">
        <v>21</v>
      </c>
      <c r="C36" s="2" t="s">
        <v>60</v>
      </c>
      <c r="D36" s="1">
        <v>1360</v>
      </c>
      <c r="E36" s="1">
        <v>2570</v>
      </c>
      <c r="F36" s="2">
        <v>37500</v>
      </c>
      <c r="H36" s="11" t="str">
        <f t="shared" si="0"/>
        <v>2/1 Kapwoning 1946 tot en met 1964 75 m2 tot 100 m2</v>
      </c>
      <c r="I36" s="29">
        <f t="shared" si="1"/>
        <v>1360</v>
      </c>
      <c r="J36" s="29">
        <f t="shared" si="2"/>
        <v>2570</v>
      </c>
      <c r="K36" s="29">
        <f t="shared" si="3"/>
        <v>37500</v>
      </c>
      <c r="L36" s="90">
        <f t="shared" si="4"/>
        <v>1292</v>
      </c>
      <c r="M36" s="2">
        <v>0</v>
      </c>
      <c r="N36" s="2">
        <f t="shared" si="5"/>
        <v>68</v>
      </c>
      <c r="O36" s="90">
        <f t="shared" si="6"/>
        <v>2570</v>
      </c>
      <c r="P36" s="90">
        <f t="shared" si="7"/>
        <v>3168.4</v>
      </c>
    </row>
    <row r="37" spans="1:16" x14ac:dyDescent="0.3">
      <c r="A37" s="2" t="s">
        <v>59</v>
      </c>
      <c r="B37" s="2" t="s">
        <v>17</v>
      </c>
      <c r="C37" s="2" t="s">
        <v>22</v>
      </c>
      <c r="D37" s="1">
        <v>1540</v>
      </c>
      <c r="E37" s="1">
        <v>3000</v>
      </c>
      <c r="F37" s="2">
        <v>62500</v>
      </c>
      <c r="H37" s="11" t="str">
        <f t="shared" si="0"/>
        <v>2/1 Kapwoning 1965 tot en met 1974 100 m2 tot 150 m2</v>
      </c>
      <c r="I37" s="29">
        <f t="shared" si="1"/>
        <v>1540</v>
      </c>
      <c r="J37" s="29">
        <f t="shared" si="2"/>
        <v>3000</v>
      </c>
      <c r="K37" s="29">
        <f t="shared" si="3"/>
        <v>62500</v>
      </c>
      <c r="L37" s="90">
        <f t="shared" si="4"/>
        <v>1463</v>
      </c>
      <c r="M37" s="2">
        <v>0</v>
      </c>
      <c r="N37" s="2">
        <f t="shared" si="5"/>
        <v>77</v>
      </c>
      <c r="O37" s="90">
        <f t="shared" si="6"/>
        <v>3000</v>
      </c>
      <c r="P37" s="90">
        <f t="shared" si="7"/>
        <v>3677.6</v>
      </c>
    </row>
    <row r="38" spans="1:16" x14ac:dyDescent="0.3">
      <c r="A38" s="2" t="s">
        <v>59</v>
      </c>
      <c r="B38" s="2" t="s">
        <v>17</v>
      </c>
      <c r="C38" s="2" t="s">
        <v>64</v>
      </c>
      <c r="D38" s="1">
        <v>1900</v>
      </c>
      <c r="E38" s="1">
        <v>3560</v>
      </c>
      <c r="F38" s="2">
        <v>17500</v>
      </c>
      <c r="H38" s="11" t="str">
        <f t="shared" si="0"/>
        <v>2/1 Kapwoning 1965 tot en met 1974 150 m2 tot 250 m2</v>
      </c>
      <c r="I38" s="29">
        <f t="shared" si="1"/>
        <v>1900</v>
      </c>
      <c r="J38" s="29">
        <f t="shared" si="2"/>
        <v>3560</v>
      </c>
      <c r="K38" s="29">
        <f t="shared" si="3"/>
        <v>17500</v>
      </c>
      <c r="L38" s="90">
        <f t="shared" si="4"/>
        <v>1805</v>
      </c>
      <c r="M38" s="2">
        <v>0</v>
      </c>
      <c r="N38" s="2">
        <f t="shared" si="5"/>
        <v>95</v>
      </c>
      <c r="O38" s="90">
        <f t="shared" si="6"/>
        <v>3560</v>
      </c>
      <c r="P38" s="90">
        <f t="shared" si="7"/>
        <v>4396</v>
      </c>
    </row>
    <row r="39" spans="1:16" x14ac:dyDescent="0.3">
      <c r="A39" s="2" t="s">
        <v>59</v>
      </c>
      <c r="B39" s="2" t="s">
        <v>17</v>
      </c>
      <c r="C39" s="2" t="s">
        <v>58</v>
      </c>
      <c r="D39" s="1">
        <v>1460</v>
      </c>
      <c r="E39" s="1">
        <v>2670</v>
      </c>
      <c r="F39" s="2">
        <v>275</v>
      </c>
      <c r="H39" s="11" t="str">
        <f t="shared" si="0"/>
        <v>2/1 Kapwoning 1965 tot en met 1974 2 m2 tot 50 m2</v>
      </c>
      <c r="I39" s="29">
        <f t="shared" si="1"/>
        <v>1460</v>
      </c>
      <c r="J39" s="29">
        <f t="shared" si="2"/>
        <v>2670</v>
      </c>
      <c r="K39" s="29">
        <f t="shared" si="3"/>
        <v>275</v>
      </c>
      <c r="L39" s="90">
        <f t="shared" si="4"/>
        <v>1387</v>
      </c>
      <c r="M39" s="2">
        <v>0</v>
      </c>
      <c r="N39" s="2">
        <f t="shared" si="5"/>
        <v>73</v>
      </c>
      <c r="O39" s="90">
        <f t="shared" si="6"/>
        <v>2670</v>
      </c>
      <c r="P39" s="90">
        <f t="shared" si="7"/>
        <v>3312.4</v>
      </c>
    </row>
    <row r="40" spans="1:16" x14ac:dyDescent="0.3">
      <c r="A40" s="2" t="s">
        <v>59</v>
      </c>
      <c r="B40" s="2" t="s">
        <v>17</v>
      </c>
      <c r="C40" s="2" t="s">
        <v>66</v>
      </c>
      <c r="D40" s="1">
        <v>2290</v>
      </c>
      <c r="E40" s="1">
        <v>4270</v>
      </c>
      <c r="F40" s="2">
        <v>3750</v>
      </c>
      <c r="H40" s="11" t="str">
        <f t="shared" si="0"/>
        <v>2/1 Kapwoning 1965 tot en met 1974 250 m2 tot 10.000m2</v>
      </c>
      <c r="I40" s="29">
        <f t="shared" si="1"/>
        <v>2290</v>
      </c>
      <c r="J40" s="29">
        <f t="shared" si="2"/>
        <v>4270</v>
      </c>
      <c r="K40" s="29">
        <f t="shared" si="3"/>
        <v>3750</v>
      </c>
      <c r="L40" s="90">
        <f t="shared" si="4"/>
        <v>2175.5</v>
      </c>
      <c r="M40" s="2">
        <v>0</v>
      </c>
      <c r="N40" s="2">
        <f t="shared" si="5"/>
        <v>114.5</v>
      </c>
      <c r="O40" s="90">
        <f t="shared" si="6"/>
        <v>4270</v>
      </c>
      <c r="P40" s="90">
        <f t="shared" si="7"/>
        <v>5277.6</v>
      </c>
    </row>
    <row r="41" spans="1:16" x14ac:dyDescent="0.3">
      <c r="A41" s="2" t="s">
        <v>59</v>
      </c>
      <c r="B41" s="2" t="s">
        <v>17</v>
      </c>
      <c r="C41" s="2" t="s">
        <v>18</v>
      </c>
      <c r="D41" s="1">
        <v>1210</v>
      </c>
      <c r="E41" s="1">
        <v>2000</v>
      </c>
      <c r="F41" s="2">
        <v>3750</v>
      </c>
      <c r="H41" s="11" t="str">
        <f t="shared" si="0"/>
        <v>2/1 Kapwoning 1965 tot en met 1974 50 m2 tot 75 m2</v>
      </c>
      <c r="I41" s="29">
        <f t="shared" si="1"/>
        <v>1210</v>
      </c>
      <c r="J41" s="29">
        <f t="shared" si="2"/>
        <v>2000</v>
      </c>
      <c r="K41" s="29">
        <f t="shared" si="3"/>
        <v>3750</v>
      </c>
      <c r="L41" s="90">
        <f t="shared" si="4"/>
        <v>1149.5</v>
      </c>
      <c r="M41" s="2">
        <v>0</v>
      </c>
      <c r="N41" s="2">
        <f t="shared" si="5"/>
        <v>60.5</v>
      </c>
      <c r="O41" s="90">
        <f t="shared" si="6"/>
        <v>2000</v>
      </c>
      <c r="P41" s="90">
        <f t="shared" si="7"/>
        <v>2532.4</v>
      </c>
    </row>
    <row r="42" spans="1:16" x14ac:dyDescent="0.3">
      <c r="A42" s="2" t="s">
        <v>59</v>
      </c>
      <c r="B42" s="2" t="s">
        <v>17</v>
      </c>
      <c r="C42" s="2" t="s">
        <v>60</v>
      </c>
      <c r="D42" s="1">
        <v>1350</v>
      </c>
      <c r="E42" s="1">
        <v>2410</v>
      </c>
      <c r="F42" s="2">
        <v>17500</v>
      </c>
      <c r="H42" s="11" t="str">
        <f t="shared" si="0"/>
        <v>2/1 Kapwoning 1965 tot en met 1974 75 m2 tot 100 m2</v>
      </c>
      <c r="I42" s="29">
        <f t="shared" si="1"/>
        <v>1350</v>
      </c>
      <c r="J42" s="29">
        <f t="shared" si="2"/>
        <v>2410</v>
      </c>
      <c r="K42" s="29">
        <f t="shared" si="3"/>
        <v>17500</v>
      </c>
      <c r="L42" s="90">
        <f t="shared" si="4"/>
        <v>1282.5</v>
      </c>
      <c r="M42" s="2">
        <v>0</v>
      </c>
      <c r="N42" s="2">
        <f t="shared" si="5"/>
        <v>67.5</v>
      </c>
      <c r="O42" s="90">
        <f t="shared" si="6"/>
        <v>2410</v>
      </c>
      <c r="P42" s="90">
        <f t="shared" si="7"/>
        <v>3004</v>
      </c>
    </row>
    <row r="43" spans="1:16" x14ac:dyDescent="0.3">
      <c r="A43" s="2" t="s">
        <v>59</v>
      </c>
      <c r="B43" s="2" t="s">
        <v>61</v>
      </c>
      <c r="C43" s="2" t="s">
        <v>22</v>
      </c>
      <c r="D43" s="1">
        <v>1430</v>
      </c>
      <c r="E43" s="1">
        <v>3090</v>
      </c>
      <c r="F43" s="2">
        <v>62500</v>
      </c>
      <c r="H43" s="11" t="str">
        <f t="shared" si="0"/>
        <v>2/1 Kapwoning 1975 tot en met 1991 100 m2 tot 150 m2</v>
      </c>
      <c r="I43" s="29">
        <f t="shared" si="1"/>
        <v>1430</v>
      </c>
      <c r="J43" s="29">
        <f t="shared" si="2"/>
        <v>3090</v>
      </c>
      <c r="K43" s="29">
        <f t="shared" si="3"/>
        <v>62500</v>
      </c>
      <c r="L43" s="90">
        <f t="shared" si="4"/>
        <v>1358.5</v>
      </c>
      <c r="M43" s="2">
        <v>0</v>
      </c>
      <c r="N43" s="2">
        <f t="shared" si="5"/>
        <v>71.5</v>
      </c>
      <c r="O43" s="90">
        <f t="shared" si="6"/>
        <v>3090</v>
      </c>
      <c r="P43" s="90">
        <f t="shared" si="7"/>
        <v>3719.2</v>
      </c>
    </row>
    <row r="44" spans="1:16" x14ac:dyDescent="0.3">
      <c r="A44" s="2" t="s">
        <v>59</v>
      </c>
      <c r="B44" s="2" t="s">
        <v>61</v>
      </c>
      <c r="C44" s="2" t="s">
        <v>64</v>
      </c>
      <c r="D44" s="1">
        <v>1760</v>
      </c>
      <c r="E44" s="1">
        <v>3610</v>
      </c>
      <c r="F44" s="2">
        <v>37500</v>
      </c>
      <c r="H44" s="11" t="str">
        <f t="shared" si="0"/>
        <v>2/1 Kapwoning 1975 tot en met 1991 150 m2 tot 250 m2</v>
      </c>
      <c r="I44" s="29">
        <f t="shared" si="1"/>
        <v>1760</v>
      </c>
      <c r="J44" s="29">
        <f t="shared" si="2"/>
        <v>3610</v>
      </c>
      <c r="K44" s="29">
        <f t="shared" si="3"/>
        <v>37500</v>
      </c>
      <c r="L44" s="90">
        <f t="shared" si="4"/>
        <v>1672</v>
      </c>
      <c r="M44" s="2">
        <v>0</v>
      </c>
      <c r="N44" s="2">
        <f t="shared" si="5"/>
        <v>88</v>
      </c>
      <c r="O44" s="90">
        <f t="shared" si="6"/>
        <v>3610</v>
      </c>
      <c r="P44" s="90">
        <f t="shared" si="7"/>
        <v>4384.3999999999996</v>
      </c>
    </row>
    <row r="45" spans="1:16" x14ac:dyDescent="0.3">
      <c r="A45" s="2" t="s">
        <v>59</v>
      </c>
      <c r="B45" s="2" t="s">
        <v>61</v>
      </c>
      <c r="C45" s="2" t="s">
        <v>58</v>
      </c>
      <c r="D45" s="1">
        <v>1230</v>
      </c>
      <c r="E45" s="1">
        <v>2820</v>
      </c>
      <c r="F45" s="2">
        <v>275</v>
      </c>
      <c r="H45" s="11" t="str">
        <f t="shared" si="0"/>
        <v>2/1 Kapwoning 1975 tot en met 1991 2 m2 tot 50 m2</v>
      </c>
      <c r="I45" s="29">
        <f t="shared" si="1"/>
        <v>1230</v>
      </c>
      <c r="J45" s="29">
        <f t="shared" si="2"/>
        <v>2820</v>
      </c>
      <c r="K45" s="29">
        <f t="shared" si="3"/>
        <v>275</v>
      </c>
      <c r="L45" s="90">
        <f t="shared" si="4"/>
        <v>1168.5</v>
      </c>
      <c r="M45" s="2">
        <v>0</v>
      </c>
      <c r="N45" s="2">
        <f t="shared" si="5"/>
        <v>61.5</v>
      </c>
      <c r="O45" s="90">
        <f t="shared" si="6"/>
        <v>2820</v>
      </c>
      <c r="P45" s="90">
        <f t="shared" si="7"/>
        <v>3361.2</v>
      </c>
    </row>
    <row r="46" spans="1:16" x14ac:dyDescent="0.3">
      <c r="A46" s="2" t="s">
        <v>59</v>
      </c>
      <c r="B46" s="2" t="s">
        <v>61</v>
      </c>
      <c r="C46" s="2" t="s">
        <v>66</v>
      </c>
      <c r="D46" s="1">
        <v>2150</v>
      </c>
      <c r="E46" s="1">
        <v>4330</v>
      </c>
      <c r="F46" s="2">
        <v>3750</v>
      </c>
      <c r="H46" s="11" t="str">
        <f t="shared" si="0"/>
        <v>2/1 Kapwoning 1975 tot en met 1991 250 m2 tot 10.000m2</v>
      </c>
      <c r="I46" s="29">
        <f t="shared" si="1"/>
        <v>2150</v>
      </c>
      <c r="J46" s="29">
        <f t="shared" si="2"/>
        <v>4330</v>
      </c>
      <c r="K46" s="29">
        <f t="shared" si="3"/>
        <v>3750</v>
      </c>
      <c r="L46" s="90">
        <f t="shared" si="4"/>
        <v>2042.5</v>
      </c>
      <c r="M46" s="2">
        <v>0</v>
      </c>
      <c r="N46" s="2">
        <f t="shared" si="5"/>
        <v>107.5</v>
      </c>
      <c r="O46" s="90">
        <f t="shared" si="6"/>
        <v>4330</v>
      </c>
      <c r="P46" s="90">
        <f t="shared" si="7"/>
        <v>5276</v>
      </c>
    </row>
    <row r="47" spans="1:16" x14ac:dyDescent="0.3">
      <c r="A47" s="2" t="s">
        <v>59</v>
      </c>
      <c r="B47" s="2" t="s">
        <v>61</v>
      </c>
      <c r="C47" s="2" t="s">
        <v>18</v>
      </c>
      <c r="D47" s="1">
        <v>1180</v>
      </c>
      <c r="E47" s="1">
        <v>2180</v>
      </c>
      <c r="F47" s="2">
        <v>3750</v>
      </c>
      <c r="H47" s="11" t="str">
        <f t="shared" si="0"/>
        <v>2/1 Kapwoning 1975 tot en met 1991 50 m2 tot 75 m2</v>
      </c>
      <c r="I47" s="29">
        <f t="shared" si="1"/>
        <v>1180</v>
      </c>
      <c r="J47" s="29">
        <f t="shared" si="2"/>
        <v>2180</v>
      </c>
      <c r="K47" s="29">
        <f t="shared" si="3"/>
        <v>3750</v>
      </c>
      <c r="L47" s="90">
        <f t="shared" si="4"/>
        <v>1121</v>
      </c>
      <c r="M47" s="2">
        <v>0</v>
      </c>
      <c r="N47" s="2">
        <f t="shared" si="5"/>
        <v>59</v>
      </c>
      <c r="O47" s="90">
        <f t="shared" si="6"/>
        <v>2180</v>
      </c>
      <c r="P47" s="90">
        <f t="shared" si="7"/>
        <v>2699.2</v>
      </c>
    </row>
    <row r="48" spans="1:16" x14ac:dyDescent="0.3">
      <c r="A48" s="2" t="s">
        <v>59</v>
      </c>
      <c r="B48" s="2" t="s">
        <v>61</v>
      </c>
      <c r="C48" s="2" t="s">
        <v>60</v>
      </c>
      <c r="D48" s="1">
        <v>1250</v>
      </c>
      <c r="E48" s="1">
        <v>2480</v>
      </c>
      <c r="F48" s="2">
        <v>17500</v>
      </c>
      <c r="H48" s="11" t="str">
        <f t="shared" si="0"/>
        <v>2/1 Kapwoning 1975 tot en met 1991 75 m2 tot 100 m2</v>
      </c>
      <c r="I48" s="29">
        <f t="shared" si="1"/>
        <v>1250</v>
      </c>
      <c r="J48" s="29">
        <f t="shared" si="2"/>
        <v>2480</v>
      </c>
      <c r="K48" s="29">
        <f t="shared" si="3"/>
        <v>17500</v>
      </c>
      <c r="L48" s="90">
        <f t="shared" si="4"/>
        <v>1187.5</v>
      </c>
      <c r="M48" s="2">
        <v>0</v>
      </c>
      <c r="N48" s="2">
        <f t="shared" si="5"/>
        <v>62.5</v>
      </c>
      <c r="O48" s="90">
        <f t="shared" si="6"/>
        <v>2480</v>
      </c>
      <c r="P48" s="90">
        <f t="shared" si="7"/>
        <v>3030</v>
      </c>
    </row>
    <row r="49" spans="1:16" x14ac:dyDescent="0.3">
      <c r="A49" s="2" t="s">
        <v>59</v>
      </c>
      <c r="B49" s="2" t="s">
        <v>63</v>
      </c>
      <c r="C49" s="2" t="s">
        <v>22</v>
      </c>
      <c r="D49" s="1">
        <v>1320</v>
      </c>
      <c r="E49" s="1">
        <v>3260</v>
      </c>
      <c r="F49" s="2">
        <v>37500</v>
      </c>
      <c r="H49" s="11" t="str">
        <f t="shared" si="0"/>
        <v>2/1 Kapwoning 1992 tot en met 1999 100 m2 tot 150 m2</v>
      </c>
      <c r="I49" s="29">
        <f t="shared" si="1"/>
        <v>1320</v>
      </c>
      <c r="J49" s="29">
        <f t="shared" si="2"/>
        <v>3260</v>
      </c>
      <c r="K49" s="29">
        <f t="shared" si="3"/>
        <v>37500</v>
      </c>
      <c r="L49" s="90">
        <f t="shared" si="4"/>
        <v>1254</v>
      </c>
      <c r="M49" s="2">
        <v>0</v>
      </c>
      <c r="N49" s="2">
        <f t="shared" si="5"/>
        <v>66</v>
      </c>
      <c r="O49" s="90">
        <f t="shared" si="6"/>
        <v>3260</v>
      </c>
      <c r="P49" s="90">
        <f t="shared" si="7"/>
        <v>3840.8</v>
      </c>
    </row>
    <row r="50" spans="1:16" x14ac:dyDescent="0.3">
      <c r="A50" s="2" t="s">
        <v>59</v>
      </c>
      <c r="B50" s="2" t="s">
        <v>63</v>
      </c>
      <c r="C50" s="2" t="s">
        <v>64</v>
      </c>
      <c r="D50" s="1">
        <v>1550</v>
      </c>
      <c r="E50" s="1">
        <v>3830</v>
      </c>
      <c r="F50" s="2">
        <v>37500</v>
      </c>
      <c r="H50" s="11" t="str">
        <f t="shared" si="0"/>
        <v>2/1 Kapwoning 1992 tot en met 1999 150 m2 tot 250 m2</v>
      </c>
      <c r="I50" s="29">
        <f t="shared" si="1"/>
        <v>1550</v>
      </c>
      <c r="J50" s="29">
        <f t="shared" si="2"/>
        <v>3830</v>
      </c>
      <c r="K50" s="29">
        <f t="shared" si="3"/>
        <v>37500</v>
      </c>
      <c r="L50" s="90">
        <f t="shared" si="4"/>
        <v>1472.5</v>
      </c>
      <c r="M50" s="2">
        <v>0</v>
      </c>
      <c r="N50" s="2">
        <f t="shared" si="5"/>
        <v>77.5</v>
      </c>
      <c r="O50" s="90">
        <f t="shared" si="6"/>
        <v>3830</v>
      </c>
      <c r="P50" s="90">
        <f t="shared" si="7"/>
        <v>4512</v>
      </c>
    </row>
    <row r="51" spans="1:16" x14ac:dyDescent="0.3">
      <c r="A51" s="2" t="s">
        <v>59</v>
      </c>
      <c r="B51" s="2" t="s">
        <v>63</v>
      </c>
      <c r="C51" s="2" t="s">
        <v>58</v>
      </c>
      <c r="D51" s="1">
        <v>0</v>
      </c>
      <c r="E51" s="1">
        <v>0</v>
      </c>
      <c r="F51" s="2">
        <v>0</v>
      </c>
      <c r="H51" s="11" t="str">
        <f t="shared" si="0"/>
        <v>2/1 Kapwoning 1992 tot en met 1999 2 m2 tot 50 m2</v>
      </c>
      <c r="I51" s="29">
        <f t="shared" si="1"/>
        <v>0</v>
      </c>
      <c r="J51" s="29">
        <f t="shared" si="2"/>
        <v>0</v>
      </c>
      <c r="K51" s="29">
        <f t="shared" si="3"/>
        <v>0</v>
      </c>
      <c r="L51" s="90">
        <f t="shared" si="4"/>
        <v>0</v>
      </c>
      <c r="M51" s="2">
        <v>0</v>
      </c>
      <c r="N51" s="2">
        <f t="shared" si="5"/>
        <v>0</v>
      </c>
      <c r="O51" s="90">
        <f t="shared" si="6"/>
        <v>0</v>
      </c>
      <c r="P51" s="90">
        <f t="shared" si="7"/>
        <v>0</v>
      </c>
    </row>
    <row r="52" spans="1:16" x14ac:dyDescent="0.3">
      <c r="A52" s="2" t="s">
        <v>59</v>
      </c>
      <c r="B52" s="2" t="s">
        <v>63</v>
      </c>
      <c r="C52" s="2" t="s">
        <v>66</v>
      </c>
      <c r="D52" s="1">
        <v>2040</v>
      </c>
      <c r="E52" s="1">
        <v>4800</v>
      </c>
      <c r="F52" s="2">
        <v>3750</v>
      </c>
      <c r="H52" s="11" t="str">
        <f t="shared" si="0"/>
        <v>2/1 Kapwoning 1992 tot en met 1999 250 m2 tot 10.000m2</v>
      </c>
      <c r="I52" s="29">
        <f t="shared" si="1"/>
        <v>2040</v>
      </c>
      <c r="J52" s="29">
        <f t="shared" si="2"/>
        <v>4800</v>
      </c>
      <c r="K52" s="29">
        <f t="shared" si="3"/>
        <v>3750</v>
      </c>
      <c r="L52" s="90">
        <f t="shared" si="4"/>
        <v>1938</v>
      </c>
      <c r="M52" s="2">
        <v>0</v>
      </c>
      <c r="N52" s="2">
        <f t="shared" si="5"/>
        <v>102</v>
      </c>
      <c r="O52" s="90">
        <f t="shared" si="6"/>
        <v>4800</v>
      </c>
      <c r="P52" s="90">
        <f t="shared" si="7"/>
        <v>5697.6</v>
      </c>
    </row>
    <row r="53" spans="1:16" x14ac:dyDescent="0.3">
      <c r="A53" s="2" t="s">
        <v>59</v>
      </c>
      <c r="B53" s="2" t="s">
        <v>63</v>
      </c>
      <c r="C53" s="2" t="s">
        <v>18</v>
      </c>
      <c r="D53" s="1">
        <v>1150</v>
      </c>
      <c r="E53" s="1">
        <v>2600</v>
      </c>
      <c r="F53" s="2">
        <v>275</v>
      </c>
      <c r="H53" s="11" t="str">
        <f t="shared" si="0"/>
        <v>2/1 Kapwoning 1992 tot en met 1999 50 m2 tot 75 m2</v>
      </c>
      <c r="I53" s="29">
        <f t="shared" si="1"/>
        <v>1150</v>
      </c>
      <c r="J53" s="29">
        <f t="shared" si="2"/>
        <v>2600</v>
      </c>
      <c r="K53" s="29">
        <f t="shared" si="3"/>
        <v>275</v>
      </c>
      <c r="L53" s="90">
        <f t="shared" si="4"/>
        <v>1092.5</v>
      </c>
      <c r="M53" s="2">
        <v>0</v>
      </c>
      <c r="N53" s="2">
        <f t="shared" si="5"/>
        <v>57.5</v>
      </c>
      <c r="O53" s="90">
        <f t="shared" si="6"/>
        <v>2600</v>
      </c>
      <c r="P53" s="90">
        <f t="shared" si="7"/>
        <v>3106</v>
      </c>
    </row>
    <row r="54" spans="1:16" x14ac:dyDescent="0.3">
      <c r="A54" s="2" t="s">
        <v>59</v>
      </c>
      <c r="B54" s="2" t="s">
        <v>63</v>
      </c>
      <c r="C54" s="2" t="s">
        <v>60</v>
      </c>
      <c r="D54" s="1">
        <v>1160</v>
      </c>
      <c r="E54" s="1">
        <v>2740</v>
      </c>
      <c r="F54" s="2">
        <v>3750</v>
      </c>
      <c r="H54" s="11" t="str">
        <f t="shared" si="0"/>
        <v>2/1 Kapwoning 1992 tot en met 1999 75 m2 tot 100 m2</v>
      </c>
      <c r="I54" s="29">
        <f t="shared" si="1"/>
        <v>1160</v>
      </c>
      <c r="J54" s="29">
        <f t="shared" si="2"/>
        <v>2740</v>
      </c>
      <c r="K54" s="29">
        <f t="shared" si="3"/>
        <v>3750</v>
      </c>
      <c r="L54" s="90">
        <f t="shared" si="4"/>
        <v>1102</v>
      </c>
      <c r="M54" s="2">
        <v>0</v>
      </c>
      <c r="N54" s="2">
        <f t="shared" si="5"/>
        <v>58</v>
      </c>
      <c r="O54" s="90">
        <f t="shared" si="6"/>
        <v>2740</v>
      </c>
      <c r="P54" s="90">
        <f t="shared" si="7"/>
        <v>3250.4</v>
      </c>
    </row>
    <row r="55" spans="1:16" x14ac:dyDescent="0.3">
      <c r="A55" s="2" t="s">
        <v>59</v>
      </c>
      <c r="B55" s="2" t="s">
        <v>65</v>
      </c>
      <c r="C55" s="2" t="s">
        <v>22</v>
      </c>
      <c r="D55" s="1">
        <v>1210</v>
      </c>
      <c r="E55" s="1">
        <v>3360</v>
      </c>
      <c r="F55" s="2">
        <v>17500</v>
      </c>
      <c r="H55" s="11" t="str">
        <f t="shared" si="0"/>
        <v>2/1 Kapwoning 2000 tot en met 2005 100 m2 tot 150 m2</v>
      </c>
      <c r="I55" s="29">
        <f t="shared" si="1"/>
        <v>1210</v>
      </c>
      <c r="J55" s="29">
        <f t="shared" si="2"/>
        <v>3360</v>
      </c>
      <c r="K55" s="29">
        <f t="shared" si="3"/>
        <v>17500</v>
      </c>
      <c r="L55" s="90">
        <f t="shared" si="4"/>
        <v>1149.5</v>
      </c>
      <c r="M55" s="2">
        <v>0</v>
      </c>
      <c r="N55" s="2">
        <f t="shared" si="5"/>
        <v>60.5</v>
      </c>
      <c r="O55" s="90">
        <f t="shared" si="6"/>
        <v>3360</v>
      </c>
      <c r="P55" s="90">
        <f t="shared" si="7"/>
        <v>3892.4</v>
      </c>
    </row>
    <row r="56" spans="1:16" x14ac:dyDescent="0.3">
      <c r="A56" s="2" t="s">
        <v>59</v>
      </c>
      <c r="B56" s="2" t="s">
        <v>65</v>
      </c>
      <c r="C56" s="2" t="s">
        <v>64</v>
      </c>
      <c r="D56" s="1">
        <v>1420</v>
      </c>
      <c r="E56" s="1">
        <v>3970</v>
      </c>
      <c r="F56" s="2">
        <v>17500</v>
      </c>
      <c r="H56" s="11" t="str">
        <f t="shared" si="0"/>
        <v>2/1 Kapwoning 2000 tot en met 2005 150 m2 tot 250 m2</v>
      </c>
      <c r="I56" s="29">
        <f t="shared" si="1"/>
        <v>1420</v>
      </c>
      <c r="J56" s="29">
        <f t="shared" si="2"/>
        <v>3970</v>
      </c>
      <c r="K56" s="29">
        <f t="shared" si="3"/>
        <v>17500</v>
      </c>
      <c r="L56" s="90">
        <f t="shared" si="4"/>
        <v>1349</v>
      </c>
      <c r="M56" s="2">
        <v>0</v>
      </c>
      <c r="N56" s="2">
        <f t="shared" si="5"/>
        <v>71</v>
      </c>
      <c r="O56" s="90">
        <f t="shared" si="6"/>
        <v>3970</v>
      </c>
      <c r="P56" s="90">
        <f t="shared" si="7"/>
        <v>4594.8</v>
      </c>
    </row>
    <row r="57" spans="1:16" x14ac:dyDescent="0.3">
      <c r="A57" s="2" t="s">
        <v>59</v>
      </c>
      <c r="B57" s="2" t="s">
        <v>65</v>
      </c>
      <c r="C57" s="2" t="s">
        <v>58</v>
      </c>
      <c r="D57" s="1">
        <v>0</v>
      </c>
      <c r="E57" s="1">
        <v>0</v>
      </c>
      <c r="F57" s="2">
        <v>0</v>
      </c>
      <c r="H57" s="11" t="str">
        <f t="shared" si="0"/>
        <v>2/1 Kapwoning 2000 tot en met 2005 2 m2 tot 50 m2</v>
      </c>
      <c r="I57" s="29">
        <f t="shared" si="1"/>
        <v>0</v>
      </c>
      <c r="J57" s="29">
        <f t="shared" si="2"/>
        <v>0</v>
      </c>
      <c r="K57" s="29">
        <f t="shared" si="3"/>
        <v>0</v>
      </c>
      <c r="L57" s="90">
        <f t="shared" si="4"/>
        <v>0</v>
      </c>
      <c r="M57" s="2">
        <v>0</v>
      </c>
      <c r="N57" s="2">
        <f t="shared" si="5"/>
        <v>0</v>
      </c>
      <c r="O57" s="90">
        <f t="shared" si="6"/>
        <v>0</v>
      </c>
      <c r="P57" s="90">
        <f t="shared" si="7"/>
        <v>0</v>
      </c>
    </row>
    <row r="58" spans="1:16" x14ac:dyDescent="0.3">
      <c r="A58" s="2" t="s">
        <v>59</v>
      </c>
      <c r="B58" s="2" t="s">
        <v>65</v>
      </c>
      <c r="C58" s="2" t="s">
        <v>66</v>
      </c>
      <c r="D58" s="1">
        <v>1950</v>
      </c>
      <c r="E58" s="1">
        <v>5040</v>
      </c>
      <c r="F58" s="2">
        <v>3750</v>
      </c>
      <c r="H58" s="11" t="str">
        <f t="shared" si="0"/>
        <v>2/1 Kapwoning 2000 tot en met 2005 250 m2 tot 10.000m2</v>
      </c>
      <c r="I58" s="29">
        <f t="shared" si="1"/>
        <v>1950</v>
      </c>
      <c r="J58" s="29">
        <f t="shared" si="2"/>
        <v>5040</v>
      </c>
      <c r="K58" s="29">
        <f t="shared" si="3"/>
        <v>3750</v>
      </c>
      <c r="L58" s="90">
        <f t="shared" si="4"/>
        <v>1852.5</v>
      </c>
      <c r="M58" s="2">
        <v>0</v>
      </c>
      <c r="N58" s="2">
        <f t="shared" si="5"/>
        <v>97.5</v>
      </c>
      <c r="O58" s="90">
        <f t="shared" si="6"/>
        <v>5040</v>
      </c>
      <c r="P58" s="90">
        <f t="shared" si="7"/>
        <v>5898</v>
      </c>
    </row>
    <row r="59" spans="1:16" x14ac:dyDescent="0.3">
      <c r="A59" s="2" t="s">
        <v>59</v>
      </c>
      <c r="B59" s="2" t="s">
        <v>65</v>
      </c>
      <c r="C59" s="2" t="s">
        <v>18</v>
      </c>
      <c r="D59" s="1">
        <v>1140</v>
      </c>
      <c r="E59" s="1">
        <v>2730</v>
      </c>
      <c r="F59" s="2">
        <v>275</v>
      </c>
      <c r="H59" s="11" t="str">
        <f t="shared" si="0"/>
        <v>2/1 Kapwoning 2000 tot en met 2005 50 m2 tot 75 m2</v>
      </c>
      <c r="I59" s="29">
        <f t="shared" si="1"/>
        <v>1140</v>
      </c>
      <c r="J59" s="29">
        <f t="shared" si="2"/>
        <v>2730</v>
      </c>
      <c r="K59" s="29">
        <f t="shared" si="3"/>
        <v>275</v>
      </c>
      <c r="L59" s="90">
        <f t="shared" si="4"/>
        <v>1083</v>
      </c>
      <c r="M59" s="2">
        <v>0</v>
      </c>
      <c r="N59" s="2">
        <f t="shared" si="5"/>
        <v>57</v>
      </c>
      <c r="O59" s="90">
        <f t="shared" si="6"/>
        <v>2730</v>
      </c>
      <c r="P59" s="90">
        <f t="shared" si="7"/>
        <v>3231.6</v>
      </c>
    </row>
    <row r="60" spans="1:16" x14ac:dyDescent="0.3">
      <c r="A60" s="2" t="s">
        <v>59</v>
      </c>
      <c r="B60" s="2" t="s">
        <v>65</v>
      </c>
      <c r="C60" s="2" t="s">
        <v>60</v>
      </c>
      <c r="D60" s="1">
        <v>1150</v>
      </c>
      <c r="E60" s="1">
        <v>2890</v>
      </c>
      <c r="F60" s="2">
        <v>750</v>
      </c>
      <c r="H60" s="11" t="str">
        <f t="shared" si="0"/>
        <v>2/1 Kapwoning 2000 tot en met 2005 75 m2 tot 100 m2</v>
      </c>
      <c r="I60" s="29">
        <f t="shared" si="1"/>
        <v>1150</v>
      </c>
      <c r="J60" s="29">
        <f t="shared" si="2"/>
        <v>2890</v>
      </c>
      <c r="K60" s="29">
        <f t="shared" si="3"/>
        <v>750</v>
      </c>
      <c r="L60" s="90">
        <f t="shared" si="4"/>
        <v>1092.5</v>
      </c>
      <c r="M60" s="2">
        <v>0</v>
      </c>
      <c r="N60" s="2">
        <f t="shared" si="5"/>
        <v>57.5</v>
      </c>
      <c r="O60" s="90">
        <f t="shared" si="6"/>
        <v>2890</v>
      </c>
      <c r="P60" s="90">
        <f t="shared" si="7"/>
        <v>3396</v>
      </c>
    </row>
    <row r="61" spans="1:16" x14ac:dyDescent="0.3">
      <c r="A61" s="2" t="s">
        <v>59</v>
      </c>
      <c r="B61" s="2" t="s">
        <v>67</v>
      </c>
      <c r="C61" s="2" t="s">
        <v>22</v>
      </c>
      <c r="D61" s="1">
        <v>1160</v>
      </c>
      <c r="E61" s="1">
        <v>3270</v>
      </c>
      <c r="F61" s="2">
        <v>7500</v>
      </c>
      <c r="H61" s="11" t="str">
        <f t="shared" si="0"/>
        <v>2/1 Kapwoning 2006 tot en met 2012 100 m2 tot 150 m2</v>
      </c>
      <c r="I61" s="29">
        <f t="shared" si="1"/>
        <v>1160</v>
      </c>
      <c r="J61" s="29">
        <f t="shared" si="2"/>
        <v>3270</v>
      </c>
      <c r="K61" s="29">
        <f t="shared" si="3"/>
        <v>7500</v>
      </c>
      <c r="L61" s="90">
        <f t="shared" si="4"/>
        <v>1102</v>
      </c>
      <c r="M61" s="2">
        <v>0</v>
      </c>
      <c r="N61" s="2">
        <f t="shared" si="5"/>
        <v>58</v>
      </c>
      <c r="O61" s="90">
        <f t="shared" si="6"/>
        <v>3270</v>
      </c>
      <c r="P61" s="90">
        <f t="shared" si="7"/>
        <v>3780.4</v>
      </c>
    </row>
    <row r="62" spans="1:16" x14ac:dyDescent="0.3">
      <c r="A62" s="2" t="s">
        <v>59</v>
      </c>
      <c r="B62" s="2" t="s">
        <v>67</v>
      </c>
      <c r="C62" s="2" t="s">
        <v>64</v>
      </c>
      <c r="D62" s="1">
        <v>1370</v>
      </c>
      <c r="E62" s="1">
        <v>3930</v>
      </c>
      <c r="F62" s="2">
        <v>17500</v>
      </c>
      <c r="H62" s="11" t="str">
        <f t="shared" si="0"/>
        <v>2/1 Kapwoning 2006 tot en met 2012 150 m2 tot 250 m2</v>
      </c>
      <c r="I62" s="29">
        <f t="shared" si="1"/>
        <v>1370</v>
      </c>
      <c r="J62" s="29">
        <f t="shared" si="2"/>
        <v>3930</v>
      </c>
      <c r="K62" s="29">
        <f t="shared" si="3"/>
        <v>17500</v>
      </c>
      <c r="L62" s="90">
        <f t="shared" si="4"/>
        <v>1301.5</v>
      </c>
      <c r="M62" s="2">
        <v>0</v>
      </c>
      <c r="N62" s="2">
        <f t="shared" si="5"/>
        <v>68.5</v>
      </c>
      <c r="O62" s="90">
        <f t="shared" si="6"/>
        <v>3930</v>
      </c>
      <c r="P62" s="90">
        <f t="shared" si="7"/>
        <v>4532.8</v>
      </c>
    </row>
    <row r="63" spans="1:16" x14ac:dyDescent="0.3">
      <c r="A63" s="2" t="s">
        <v>59</v>
      </c>
      <c r="B63" s="2" t="s">
        <v>67</v>
      </c>
      <c r="C63" s="2" t="s">
        <v>58</v>
      </c>
      <c r="D63" s="1">
        <v>0</v>
      </c>
      <c r="E63" s="1">
        <v>0</v>
      </c>
      <c r="F63" s="2">
        <v>0</v>
      </c>
      <c r="H63" s="11" t="str">
        <f t="shared" si="0"/>
        <v>2/1 Kapwoning 2006 tot en met 2012 2 m2 tot 50 m2</v>
      </c>
      <c r="I63" s="29">
        <f t="shared" si="1"/>
        <v>0</v>
      </c>
      <c r="J63" s="29">
        <f t="shared" si="2"/>
        <v>0</v>
      </c>
      <c r="K63" s="29">
        <f t="shared" si="3"/>
        <v>0</v>
      </c>
      <c r="L63" s="90">
        <f t="shared" si="4"/>
        <v>0</v>
      </c>
      <c r="M63" s="2">
        <v>0</v>
      </c>
      <c r="N63" s="2">
        <f t="shared" si="5"/>
        <v>0</v>
      </c>
      <c r="O63" s="90">
        <f t="shared" si="6"/>
        <v>0</v>
      </c>
      <c r="P63" s="90">
        <f t="shared" si="7"/>
        <v>0</v>
      </c>
    </row>
    <row r="64" spans="1:16" x14ac:dyDescent="0.3">
      <c r="A64" s="2" t="s">
        <v>59</v>
      </c>
      <c r="B64" s="2" t="s">
        <v>67</v>
      </c>
      <c r="C64" s="2" t="s">
        <v>66</v>
      </c>
      <c r="D64" s="1">
        <v>1770</v>
      </c>
      <c r="E64" s="1">
        <v>4990</v>
      </c>
      <c r="F64" s="2">
        <v>3750</v>
      </c>
      <c r="H64" s="11" t="str">
        <f t="shared" si="0"/>
        <v>2/1 Kapwoning 2006 tot en met 2012 250 m2 tot 10.000m2</v>
      </c>
      <c r="I64" s="29">
        <f t="shared" si="1"/>
        <v>1770</v>
      </c>
      <c r="J64" s="29">
        <f t="shared" si="2"/>
        <v>4990</v>
      </c>
      <c r="K64" s="29">
        <f t="shared" si="3"/>
        <v>3750</v>
      </c>
      <c r="L64" s="90">
        <f t="shared" si="4"/>
        <v>1681.5</v>
      </c>
      <c r="M64" s="2">
        <v>0</v>
      </c>
      <c r="N64" s="2">
        <f t="shared" si="5"/>
        <v>88.5</v>
      </c>
      <c r="O64" s="90">
        <f t="shared" si="6"/>
        <v>4990</v>
      </c>
      <c r="P64" s="90">
        <f t="shared" si="7"/>
        <v>5768.8</v>
      </c>
    </row>
    <row r="65" spans="1:16" x14ac:dyDescent="0.3">
      <c r="A65" s="2" t="s">
        <v>59</v>
      </c>
      <c r="B65" s="2" t="s">
        <v>67</v>
      </c>
      <c r="C65" s="2" t="s">
        <v>18</v>
      </c>
      <c r="D65" s="1">
        <v>1090</v>
      </c>
      <c r="E65" s="1">
        <v>3020</v>
      </c>
      <c r="F65" s="2">
        <v>275</v>
      </c>
      <c r="H65" s="11" t="str">
        <f t="shared" si="0"/>
        <v>2/1 Kapwoning 2006 tot en met 2012 50 m2 tot 75 m2</v>
      </c>
      <c r="I65" s="29">
        <f t="shared" si="1"/>
        <v>1090</v>
      </c>
      <c r="J65" s="29">
        <f t="shared" si="2"/>
        <v>3020</v>
      </c>
      <c r="K65" s="29">
        <f t="shared" si="3"/>
        <v>275</v>
      </c>
      <c r="L65" s="90">
        <f t="shared" si="4"/>
        <v>1035.5</v>
      </c>
      <c r="M65" s="2">
        <v>0</v>
      </c>
      <c r="N65" s="2">
        <f t="shared" si="5"/>
        <v>54.5</v>
      </c>
      <c r="O65" s="90">
        <f t="shared" si="6"/>
        <v>3020</v>
      </c>
      <c r="P65" s="90">
        <f t="shared" si="7"/>
        <v>3499.6</v>
      </c>
    </row>
    <row r="66" spans="1:16" x14ac:dyDescent="0.3">
      <c r="A66" s="2" t="s">
        <v>59</v>
      </c>
      <c r="B66" s="2" t="s">
        <v>67</v>
      </c>
      <c r="C66" s="2" t="s">
        <v>60</v>
      </c>
      <c r="D66" s="1">
        <v>1040</v>
      </c>
      <c r="E66" s="1">
        <v>2930</v>
      </c>
      <c r="F66" s="2">
        <v>750</v>
      </c>
      <c r="H66" s="11" t="str">
        <f t="shared" si="0"/>
        <v>2/1 Kapwoning 2006 tot en met 2012 75 m2 tot 100 m2</v>
      </c>
      <c r="I66" s="29">
        <f t="shared" si="1"/>
        <v>1040</v>
      </c>
      <c r="J66" s="29">
        <f t="shared" si="2"/>
        <v>2930</v>
      </c>
      <c r="K66" s="29">
        <f t="shared" si="3"/>
        <v>750</v>
      </c>
      <c r="L66" s="90">
        <f t="shared" si="4"/>
        <v>988</v>
      </c>
      <c r="M66" s="2">
        <v>0</v>
      </c>
      <c r="N66" s="2">
        <f t="shared" si="5"/>
        <v>52</v>
      </c>
      <c r="O66" s="90">
        <f t="shared" si="6"/>
        <v>2930</v>
      </c>
      <c r="P66" s="90">
        <f t="shared" si="7"/>
        <v>3387.6</v>
      </c>
    </row>
    <row r="67" spans="1:16" x14ac:dyDescent="0.3">
      <c r="A67" s="2" t="s">
        <v>59</v>
      </c>
      <c r="B67" s="2" t="s">
        <v>68</v>
      </c>
      <c r="C67" s="2" t="s">
        <v>22</v>
      </c>
      <c r="D67" s="1">
        <v>1010</v>
      </c>
      <c r="E67" s="1">
        <v>2860</v>
      </c>
      <c r="F67" s="2">
        <v>7500</v>
      </c>
      <c r="H67" s="11" t="str">
        <f t="shared" si="0"/>
        <v>2/1 Kapwoning vanaf 2013 100 m2 tot 150 m2</v>
      </c>
      <c r="I67" s="29">
        <f t="shared" si="1"/>
        <v>1010</v>
      </c>
      <c r="J67" s="29">
        <f t="shared" si="2"/>
        <v>2860</v>
      </c>
      <c r="K67" s="29">
        <f t="shared" si="3"/>
        <v>7500</v>
      </c>
      <c r="L67" s="90">
        <f>I67</f>
        <v>1010</v>
      </c>
      <c r="M67" s="2">
        <v>250</v>
      </c>
      <c r="N67" s="2">
        <v>0</v>
      </c>
      <c r="O67" s="90">
        <f>J67-250</f>
        <v>2610</v>
      </c>
      <c r="P67" s="90">
        <f t="shared" si="7"/>
        <v>2610</v>
      </c>
    </row>
    <row r="68" spans="1:16" x14ac:dyDescent="0.3">
      <c r="A68" s="2" t="s">
        <v>59</v>
      </c>
      <c r="B68" s="2" t="s">
        <v>68</v>
      </c>
      <c r="C68" s="2" t="s">
        <v>64</v>
      </c>
      <c r="D68" s="1">
        <v>1210</v>
      </c>
      <c r="E68" s="1">
        <v>3480</v>
      </c>
      <c r="F68" s="2">
        <v>17500</v>
      </c>
      <c r="H68" s="11" t="str">
        <f t="shared" si="0"/>
        <v>2/1 Kapwoning vanaf 2013 150 m2 tot 250 m2</v>
      </c>
      <c r="I68" s="29">
        <f t="shared" si="1"/>
        <v>1210</v>
      </c>
      <c r="J68" s="29">
        <f t="shared" si="2"/>
        <v>3480</v>
      </c>
      <c r="K68" s="29">
        <f t="shared" si="3"/>
        <v>17500</v>
      </c>
      <c r="L68" s="90">
        <f>I68</f>
        <v>1210</v>
      </c>
      <c r="M68" s="2">
        <v>250</v>
      </c>
      <c r="N68" s="2">
        <v>0</v>
      </c>
      <c r="O68" s="90">
        <f>J68-250</f>
        <v>3230</v>
      </c>
      <c r="P68" s="90">
        <f t="shared" si="7"/>
        <v>3230</v>
      </c>
    </row>
    <row r="69" spans="1:16" x14ac:dyDescent="0.3">
      <c r="A69" s="2" t="s">
        <v>59</v>
      </c>
      <c r="B69" s="2" t="s">
        <v>68</v>
      </c>
      <c r="C69" s="2" t="s">
        <v>58</v>
      </c>
      <c r="D69" s="1">
        <v>0</v>
      </c>
      <c r="E69" s="1">
        <v>0</v>
      </c>
      <c r="F69" s="2">
        <v>0</v>
      </c>
      <c r="H69" s="11" t="str">
        <f t="shared" si="0"/>
        <v>2/1 Kapwoning vanaf 2013 2 m2 tot 50 m2</v>
      </c>
      <c r="I69" s="29">
        <f t="shared" si="1"/>
        <v>0</v>
      </c>
      <c r="J69" s="29">
        <f t="shared" si="2"/>
        <v>0</v>
      </c>
      <c r="K69" s="29">
        <f t="shared" si="3"/>
        <v>0</v>
      </c>
      <c r="L69" s="90">
        <f>I69-N69</f>
        <v>0</v>
      </c>
      <c r="M69" s="2">
        <v>0</v>
      </c>
      <c r="N69" s="2">
        <v>0</v>
      </c>
      <c r="O69" s="90">
        <v>0</v>
      </c>
      <c r="P69" s="90">
        <f t="shared" si="7"/>
        <v>0</v>
      </c>
    </row>
    <row r="70" spans="1:16" x14ac:dyDescent="0.3">
      <c r="A70" s="2" t="s">
        <v>59</v>
      </c>
      <c r="B70" s="2" t="s">
        <v>68</v>
      </c>
      <c r="C70" s="2" t="s">
        <v>66</v>
      </c>
      <c r="D70" s="1">
        <v>1550</v>
      </c>
      <c r="E70" s="1">
        <v>4690</v>
      </c>
      <c r="F70" s="2">
        <v>275</v>
      </c>
      <c r="H70" s="11" t="str">
        <f t="shared" si="0"/>
        <v>2/1 Kapwoning vanaf 2013 250 m2 tot 10.000m2</v>
      </c>
      <c r="I70" s="29">
        <f t="shared" si="1"/>
        <v>1550</v>
      </c>
      <c r="J70" s="29">
        <f t="shared" si="2"/>
        <v>4690</v>
      </c>
      <c r="K70" s="29">
        <f t="shared" si="3"/>
        <v>275</v>
      </c>
      <c r="L70" s="90">
        <f>I70</f>
        <v>1550</v>
      </c>
      <c r="M70" s="2">
        <v>250</v>
      </c>
      <c r="N70" s="2">
        <v>0</v>
      </c>
      <c r="O70" s="90">
        <f>J70-250</f>
        <v>4440</v>
      </c>
      <c r="P70" s="90">
        <f t="shared" si="7"/>
        <v>4440</v>
      </c>
    </row>
    <row r="71" spans="1:16" x14ac:dyDescent="0.3">
      <c r="A71" s="2" t="s">
        <v>59</v>
      </c>
      <c r="B71" s="2" t="s">
        <v>68</v>
      </c>
      <c r="C71" s="2" t="s">
        <v>18</v>
      </c>
      <c r="D71" s="1">
        <v>790</v>
      </c>
      <c r="E71" s="1">
        <v>2070</v>
      </c>
      <c r="F71" s="2">
        <v>275</v>
      </c>
      <c r="H71" s="11" t="str">
        <f t="shared" si="0"/>
        <v>2/1 Kapwoning vanaf 2013 50 m2 tot 75 m2</v>
      </c>
      <c r="I71" s="29">
        <f t="shared" si="1"/>
        <v>790</v>
      </c>
      <c r="J71" s="29">
        <f t="shared" si="2"/>
        <v>2070</v>
      </c>
      <c r="K71" s="29">
        <f t="shared" si="3"/>
        <v>275</v>
      </c>
      <c r="L71" s="90">
        <f>I71</f>
        <v>790</v>
      </c>
      <c r="M71" s="2">
        <v>250</v>
      </c>
      <c r="N71" s="2">
        <v>0</v>
      </c>
      <c r="O71" s="90">
        <f>J71-250</f>
        <v>1820</v>
      </c>
      <c r="P71" s="90">
        <f t="shared" si="7"/>
        <v>1820</v>
      </c>
    </row>
    <row r="72" spans="1:16" x14ac:dyDescent="0.3">
      <c r="A72" s="2" t="s">
        <v>59</v>
      </c>
      <c r="B72" s="2" t="s">
        <v>68</v>
      </c>
      <c r="C72" s="2" t="s">
        <v>60</v>
      </c>
      <c r="D72" s="1">
        <v>860</v>
      </c>
      <c r="E72" s="1">
        <v>2440</v>
      </c>
      <c r="F72" s="2">
        <v>750</v>
      </c>
      <c r="H72" s="11" t="str">
        <f t="shared" si="0"/>
        <v>2/1 Kapwoning vanaf 2013 75 m2 tot 100 m2</v>
      </c>
      <c r="I72" s="29">
        <f t="shared" si="1"/>
        <v>860</v>
      </c>
      <c r="J72" s="29">
        <f t="shared" si="2"/>
        <v>2440</v>
      </c>
      <c r="K72" s="29">
        <f t="shared" si="3"/>
        <v>750</v>
      </c>
      <c r="L72" s="90">
        <f>I72</f>
        <v>860</v>
      </c>
      <c r="M72" s="2">
        <v>250</v>
      </c>
      <c r="N72" s="2">
        <v>0</v>
      </c>
      <c r="O72" s="90">
        <f>J72-250</f>
        <v>2190</v>
      </c>
      <c r="P72" s="90">
        <f t="shared" si="7"/>
        <v>2190</v>
      </c>
    </row>
    <row r="73" spans="1:16" x14ac:dyDescent="0.3">
      <c r="A73" s="2" t="s">
        <v>56</v>
      </c>
      <c r="B73" s="2" t="s">
        <v>57</v>
      </c>
      <c r="C73" s="2" t="s">
        <v>22</v>
      </c>
      <c r="D73" s="1">
        <v>1350</v>
      </c>
      <c r="E73" s="1">
        <v>2600</v>
      </c>
      <c r="F73" s="2">
        <v>87500</v>
      </c>
      <c r="H73" s="11" t="str">
        <f t="shared" si="0"/>
        <v>Appartement 1200 tot en met 1945 100 m2 tot 150 m2</v>
      </c>
      <c r="I73" s="29">
        <f t="shared" si="1"/>
        <v>1350</v>
      </c>
      <c r="J73" s="29">
        <f t="shared" si="2"/>
        <v>2600</v>
      </c>
      <c r="K73" s="29">
        <f t="shared" si="3"/>
        <v>87500</v>
      </c>
      <c r="L73" s="90">
        <f t="shared" ref="L73:L114" si="8">I73-N73</f>
        <v>1282.5</v>
      </c>
      <c r="M73" s="2">
        <v>0</v>
      </c>
      <c r="N73" s="2">
        <f t="shared" ref="N73:N114" si="9">I73*0.05</f>
        <v>67.5</v>
      </c>
      <c r="O73" s="90">
        <f t="shared" ref="O73:O114" si="10">J73</f>
        <v>2600</v>
      </c>
      <c r="P73" s="90">
        <f t="shared" si="7"/>
        <v>3194</v>
      </c>
    </row>
    <row r="74" spans="1:16" x14ac:dyDescent="0.3">
      <c r="A74" s="2" t="s">
        <v>56</v>
      </c>
      <c r="B74" s="2" t="s">
        <v>57</v>
      </c>
      <c r="C74" s="2" t="s">
        <v>64</v>
      </c>
      <c r="D74" s="1">
        <v>1750</v>
      </c>
      <c r="E74" s="1">
        <v>3470</v>
      </c>
      <c r="F74" s="2">
        <v>37500</v>
      </c>
      <c r="H74" s="11" t="str">
        <f t="shared" si="0"/>
        <v>Appartement 1200 tot en met 1945 150 m2 tot 250 m2</v>
      </c>
      <c r="I74" s="29">
        <f t="shared" si="1"/>
        <v>1750</v>
      </c>
      <c r="J74" s="29">
        <f t="shared" si="2"/>
        <v>3470</v>
      </c>
      <c r="K74" s="29">
        <f t="shared" si="3"/>
        <v>37500</v>
      </c>
      <c r="L74" s="90">
        <f t="shared" si="8"/>
        <v>1662.5</v>
      </c>
      <c r="M74" s="2">
        <v>0</v>
      </c>
      <c r="N74" s="2">
        <f t="shared" si="9"/>
        <v>87.5</v>
      </c>
      <c r="O74" s="90">
        <f t="shared" si="10"/>
        <v>3470</v>
      </c>
      <c r="P74" s="90">
        <f t="shared" si="7"/>
        <v>4240</v>
      </c>
    </row>
    <row r="75" spans="1:16" x14ac:dyDescent="0.3">
      <c r="A75" s="2" t="s">
        <v>56</v>
      </c>
      <c r="B75" s="2" t="s">
        <v>57</v>
      </c>
      <c r="C75" s="2" t="s">
        <v>58</v>
      </c>
      <c r="D75" s="1">
        <v>740</v>
      </c>
      <c r="E75" s="1">
        <v>1450</v>
      </c>
      <c r="F75" s="2">
        <v>87500</v>
      </c>
      <c r="H75" s="11" t="str">
        <f t="shared" si="0"/>
        <v>Appartement 1200 tot en met 1945 2 m2 tot 50 m2</v>
      </c>
      <c r="I75" s="29">
        <f t="shared" si="1"/>
        <v>740</v>
      </c>
      <c r="J75" s="29">
        <f t="shared" si="2"/>
        <v>1450</v>
      </c>
      <c r="K75" s="29">
        <f t="shared" si="3"/>
        <v>87500</v>
      </c>
      <c r="L75" s="90">
        <f t="shared" si="8"/>
        <v>703</v>
      </c>
      <c r="M75" s="2">
        <v>0</v>
      </c>
      <c r="N75" s="2">
        <f t="shared" si="9"/>
        <v>37</v>
      </c>
      <c r="O75" s="90">
        <f t="shared" si="10"/>
        <v>1450</v>
      </c>
      <c r="P75" s="90">
        <f t="shared" si="7"/>
        <v>1775.6</v>
      </c>
    </row>
    <row r="76" spans="1:16" x14ac:dyDescent="0.3">
      <c r="A76" s="2" t="s">
        <v>56</v>
      </c>
      <c r="B76" s="2" t="s">
        <v>57</v>
      </c>
      <c r="C76" s="2" t="s">
        <v>66</v>
      </c>
      <c r="D76" s="1">
        <v>2060</v>
      </c>
      <c r="E76" s="1">
        <v>4160</v>
      </c>
      <c r="F76" s="2">
        <v>7500</v>
      </c>
      <c r="H76" s="11" t="str">
        <f t="shared" si="0"/>
        <v>Appartement 1200 tot en met 1945 250 m2 tot 10.000m2</v>
      </c>
      <c r="I76" s="29">
        <f t="shared" si="1"/>
        <v>2060</v>
      </c>
      <c r="J76" s="29">
        <f t="shared" si="2"/>
        <v>4160</v>
      </c>
      <c r="K76" s="29">
        <f t="shared" si="3"/>
        <v>7500</v>
      </c>
      <c r="L76" s="90">
        <f t="shared" si="8"/>
        <v>1957</v>
      </c>
      <c r="M76" s="2">
        <v>0</v>
      </c>
      <c r="N76" s="2">
        <f t="shared" si="9"/>
        <v>103</v>
      </c>
      <c r="O76" s="90">
        <f t="shared" si="10"/>
        <v>4160</v>
      </c>
      <c r="P76" s="90">
        <f t="shared" si="7"/>
        <v>5066.3999999999996</v>
      </c>
    </row>
    <row r="77" spans="1:16" x14ac:dyDescent="0.3">
      <c r="A77" s="2" t="s">
        <v>56</v>
      </c>
      <c r="B77" s="2" t="s">
        <v>57</v>
      </c>
      <c r="C77" s="2" t="s">
        <v>18</v>
      </c>
      <c r="D77" s="1">
        <v>910</v>
      </c>
      <c r="E77" s="1">
        <v>1770</v>
      </c>
      <c r="F77" s="2">
        <v>175000</v>
      </c>
      <c r="H77" s="11" t="str">
        <f t="shared" si="0"/>
        <v>Appartement 1200 tot en met 1945 50 m2 tot 75 m2</v>
      </c>
      <c r="I77" s="29">
        <f t="shared" si="1"/>
        <v>910</v>
      </c>
      <c r="J77" s="29">
        <f t="shared" si="2"/>
        <v>1770</v>
      </c>
      <c r="K77" s="29">
        <f t="shared" si="3"/>
        <v>175000</v>
      </c>
      <c r="L77" s="90">
        <f t="shared" si="8"/>
        <v>864.5</v>
      </c>
      <c r="M77" s="2">
        <v>0</v>
      </c>
      <c r="N77" s="2">
        <f t="shared" si="9"/>
        <v>45.5</v>
      </c>
      <c r="O77" s="90">
        <f t="shared" si="10"/>
        <v>1770</v>
      </c>
      <c r="P77" s="90">
        <f t="shared" si="7"/>
        <v>2170.4</v>
      </c>
    </row>
    <row r="78" spans="1:16" x14ac:dyDescent="0.3">
      <c r="A78" s="2" t="s">
        <v>56</v>
      </c>
      <c r="B78" s="2" t="s">
        <v>57</v>
      </c>
      <c r="C78" s="2" t="s">
        <v>60</v>
      </c>
      <c r="D78" s="1">
        <v>1100</v>
      </c>
      <c r="E78" s="1">
        <v>2130</v>
      </c>
      <c r="F78" s="2">
        <v>175000</v>
      </c>
      <c r="H78" s="11" t="str">
        <f t="shared" si="0"/>
        <v>Appartement 1200 tot en met 1945 75 m2 tot 100 m2</v>
      </c>
      <c r="I78" s="29">
        <f t="shared" si="1"/>
        <v>1100</v>
      </c>
      <c r="J78" s="29">
        <f t="shared" si="2"/>
        <v>2130</v>
      </c>
      <c r="K78" s="29">
        <f t="shared" si="3"/>
        <v>175000</v>
      </c>
      <c r="L78" s="90">
        <f t="shared" si="8"/>
        <v>1045</v>
      </c>
      <c r="M78" s="2">
        <v>0</v>
      </c>
      <c r="N78" s="2">
        <f t="shared" si="9"/>
        <v>55</v>
      </c>
      <c r="O78" s="90">
        <f t="shared" si="10"/>
        <v>2130</v>
      </c>
      <c r="P78" s="90">
        <f t="shared" si="7"/>
        <v>2614</v>
      </c>
    </row>
    <row r="79" spans="1:16" x14ac:dyDescent="0.3">
      <c r="A79" s="2" t="s">
        <v>56</v>
      </c>
      <c r="B79" s="2" t="s">
        <v>21</v>
      </c>
      <c r="C79" s="2" t="s">
        <v>22</v>
      </c>
      <c r="D79" s="1">
        <v>1260</v>
      </c>
      <c r="E79" s="1">
        <v>2460</v>
      </c>
      <c r="F79" s="2">
        <v>17500</v>
      </c>
      <c r="H79" s="11" t="str">
        <f t="shared" si="0"/>
        <v>Appartement 1946 tot en met 1964 100 m2 tot 150 m2</v>
      </c>
      <c r="I79" s="29">
        <f t="shared" si="1"/>
        <v>1260</v>
      </c>
      <c r="J79" s="29">
        <f t="shared" si="2"/>
        <v>2460</v>
      </c>
      <c r="K79" s="29">
        <f t="shared" si="3"/>
        <v>17500</v>
      </c>
      <c r="L79" s="90">
        <f t="shared" si="8"/>
        <v>1197</v>
      </c>
      <c r="M79" s="2">
        <v>0</v>
      </c>
      <c r="N79" s="2">
        <f t="shared" si="9"/>
        <v>63</v>
      </c>
      <c r="O79" s="90">
        <f t="shared" si="10"/>
        <v>2460</v>
      </c>
      <c r="P79" s="90">
        <f t="shared" si="7"/>
        <v>3014.4</v>
      </c>
    </row>
    <row r="80" spans="1:16" x14ac:dyDescent="0.3">
      <c r="A80" s="2" t="s">
        <v>56</v>
      </c>
      <c r="B80" s="2" t="s">
        <v>21</v>
      </c>
      <c r="C80" s="2" t="s">
        <v>64</v>
      </c>
      <c r="D80" s="1">
        <v>1700</v>
      </c>
      <c r="E80" s="1">
        <v>3390</v>
      </c>
      <c r="F80" s="2">
        <v>3750</v>
      </c>
      <c r="H80" s="11" t="str">
        <f t="shared" si="0"/>
        <v>Appartement 1946 tot en met 1964 150 m2 tot 250 m2</v>
      </c>
      <c r="I80" s="29">
        <f t="shared" si="1"/>
        <v>1700</v>
      </c>
      <c r="J80" s="29">
        <f t="shared" si="2"/>
        <v>3390</v>
      </c>
      <c r="K80" s="29">
        <f t="shared" si="3"/>
        <v>3750</v>
      </c>
      <c r="L80" s="90">
        <f t="shared" si="8"/>
        <v>1615</v>
      </c>
      <c r="M80" s="2">
        <v>0</v>
      </c>
      <c r="N80" s="2">
        <f t="shared" si="9"/>
        <v>85</v>
      </c>
      <c r="O80" s="90">
        <f t="shared" si="10"/>
        <v>3390</v>
      </c>
      <c r="P80" s="90">
        <f t="shared" si="7"/>
        <v>4138</v>
      </c>
    </row>
    <row r="81" spans="1:16" x14ac:dyDescent="0.3">
      <c r="A81" s="2" t="s">
        <v>56</v>
      </c>
      <c r="B81" s="2" t="s">
        <v>21</v>
      </c>
      <c r="C81" s="2" t="s">
        <v>58</v>
      </c>
      <c r="D81" s="1">
        <v>770</v>
      </c>
      <c r="E81" s="1">
        <v>1460</v>
      </c>
      <c r="F81" s="2">
        <v>37500</v>
      </c>
      <c r="H81" s="11" t="str">
        <f t="shared" si="0"/>
        <v>Appartement 1946 tot en met 1964 2 m2 tot 50 m2</v>
      </c>
      <c r="I81" s="29">
        <f t="shared" si="1"/>
        <v>770</v>
      </c>
      <c r="J81" s="29">
        <f t="shared" si="2"/>
        <v>1460</v>
      </c>
      <c r="K81" s="29">
        <f t="shared" si="3"/>
        <v>37500</v>
      </c>
      <c r="L81" s="90">
        <f t="shared" si="8"/>
        <v>731.5</v>
      </c>
      <c r="M81" s="2">
        <v>0</v>
      </c>
      <c r="N81" s="2">
        <f t="shared" si="9"/>
        <v>38.5</v>
      </c>
      <c r="O81" s="90">
        <f t="shared" si="10"/>
        <v>1460</v>
      </c>
      <c r="P81" s="90">
        <f t="shared" si="7"/>
        <v>1798.8</v>
      </c>
    </row>
    <row r="82" spans="1:16" x14ac:dyDescent="0.3">
      <c r="A82" s="2" t="s">
        <v>56</v>
      </c>
      <c r="B82" s="2" t="s">
        <v>21</v>
      </c>
      <c r="C82" s="2" t="s">
        <v>66</v>
      </c>
      <c r="D82" s="1">
        <v>1960</v>
      </c>
      <c r="E82" s="1">
        <v>4010</v>
      </c>
      <c r="F82" s="2">
        <v>3750</v>
      </c>
      <c r="H82" s="11" t="str">
        <f t="shared" si="0"/>
        <v>Appartement 1946 tot en met 1964 250 m2 tot 10.000m2</v>
      </c>
      <c r="I82" s="29">
        <f t="shared" si="1"/>
        <v>1960</v>
      </c>
      <c r="J82" s="29">
        <f t="shared" si="2"/>
        <v>4010</v>
      </c>
      <c r="K82" s="29">
        <f t="shared" si="3"/>
        <v>3750</v>
      </c>
      <c r="L82" s="90">
        <f t="shared" si="8"/>
        <v>1862</v>
      </c>
      <c r="M82" s="2">
        <v>0</v>
      </c>
      <c r="N82" s="2">
        <f t="shared" si="9"/>
        <v>98</v>
      </c>
      <c r="O82" s="90">
        <f t="shared" si="10"/>
        <v>4010</v>
      </c>
      <c r="P82" s="90">
        <f t="shared" si="7"/>
        <v>4872.3999999999996</v>
      </c>
    </row>
    <row r="83" spans="1:16" x14ac:dyDescent="0.3">
      <c r="A83" s="2" t="s">
        <v>56</v>
      </c>
      <c r="B83" s="2" t="s">
        <v>21</v>
      </c>
      <c r="C83" s="2" t="s">
        <v>18</v>
      </c>
      <c r="D83" s="1">
        <v>890</v>
      </c>
      <c r="E83" s="1">
        <v>1760</v>
      </c>
      <c r="F83" s="2">
        <v>175000</v>
      </c>
      <c r="H83" s="11" t="str">
        <f t="shared" si="0"/>
        <v>Appartement 1946 tot en met 1964 50 m2 tot 75 m2</v>
      </c>
      <c r="I83" s="29">
        <f t="shared" si="1"/>
        <v>890</v>
      </c>
      <c r="J83" s="29">
        <f t="shared" si="2"/>
        <v>1760</v>
      </c>
      <c r="K83" s="29">
        <f t="shared" si="3"/>
        <v>175000</v>
      </c>
      <c r="L83" s="90">
        <f t="shared" si="8"/>
        <v>845.5</v>
      </c>
      <c r="M83" s="2">
        <v>0</v>
      </c>
      <c r="N83" s="2">
        <f t="shared" si="9"/>
        <v>44.5</v>
      </c>
      <c r="O83" s="90">
        <f t="shared" si="10"/>
        <v>1760</v>
      </c>
      <c r="P83" s="90">
        <f t="shared" si="7"/>
        <v>2151.6</v>
      </c>
    </row>
    <row r="84" spans="1:16" x14ac:dyDescent="0.3">
      <c r="A84" s="2" t="s">
        <v>56</v>
      </c>
      <c r="B84" s="2" t="s">
        <v>21</v>
      </c>
      <c r="C84" s="2" t="s">
        <v>60</v>
      </c>
      <c r="D84" s="1">
        <v>1020</v>
      </c>
      <c r="E84" s="1">
        <v>2020</v>
      </c>
      <c r="F84" s="2">
        <v>87500</v>
      </c>
      <c r="H84" s="11" t="str">
        <f t="shared" si="0"/>
        <v>Appartement 1946 tot en met 1964 75 m2 tot 100 m2</v>
      </c>
      <c r="I84" s="29">
        <f t="shared" si="1"/>
        <v>1020</v>
      </c>
      <c r="J84" s="29">
        <f t="shared" si="2"/>
        <v>2020</v>
      </c>
      <c r="K84" s="29">
        <f t="shared" si="3"/>
        <v>87500</v>
      </c>
      <c r="L84" s="90">
        <f t="shared" si="8"/>
        <v>969</v>
      </c>
      <c r="M84" s="2">
        <v>0</v>
      </c>
      <c r="N84" s="2">
        <f t="shared" si="9"/>
        <v>51</v>
      </c>
      <c r="O84" s="90">
        <f t="shared" si="10"/>
        <v>2020</v>
      </c>
      <c r="P84" s="90">
        <f t="shared" si="7"/>
        <v>2468.8000000000002</v>
      </c>
    </row>
    <row r="85" spans="1:16" x14ac:dyDescent="0.3">
      <c r="A85" s="2" t="s">
        <v>56</v>
      </c>
      <c r="B85" s="2" t="s">
        <v>17</v>
      </c>
      <c r="C85" s="2" t="s">
        <v>22</v>
      </c>
      <c r="D85" s="1">
        <v>1150</v>
      </c>
      <c r="E85" s="1">
        <v>2480</v>
      </c>
      <c r="F85" s="2">
        <v>37500</v>
      </c>
      <c r="H85" s="11" t="str">
        <f t="shared" si="0"/>
        <v>Appartement 1965 tot en met 1974 100 m2 tot 150 m2</v>
      </c>
      <c r="I85" s="29">
        <f t="shared" si="1"/>
        <v>1150</v>
      </c>
      <c r="J85" s="29">
        <f t="shared" si="2"/>
        <v>2480</v>
      </c>
      <c r="K85" s="29">
        <f t="shared" si="3"/>
        <v>37500</v>
      </c>
      <c r="L85" s="90">
        <f t="shared" si="8"/>
        <v>1092.5</v>
      </c>
      <c r="M85" s="2">
        <v>0</v>
      </c>
      <c r="N85" s="2">
        <f t="shared" si="9"/>
        <v>57.5</v>
      </c>
      <c r="O85" s="90">
        <f t="shared" si="10"/>
        <v>2480</v>
      </c>
      <c r="P85" s="90">
        <f t="shared" si="7"/>
        <v>2986</v>
      </c>
    </row>
    <row r="86" spans="1:16" x14ac:dyDescent="0.3">
      <c r="A86" s="2" t="s">
        <v>56</v>
      </c>
      <c r="B86" s="2" t="s">
        <v>17</v>
      </c>
      <c r="C86" s="2" t="s">
        <v>64</v>
      </c>
      <c r="D86" s="1">
        <v>1580</v>
      </c>
      <c r="E86" s="1">
        <v>3330</v>
      </c>
      <c r="F86" s="2">
        <v>3750</v>
      </c>
      <c r="H86" s="11" t="str">
        <f t="shared" si="0"/>
        <v>Appartement 1965 tot en met 1974 150 m2 tot 250 m2</v>
      </c>
      <c r="I86" s="29">
        <f t="shared" si="1"/>
        <v>1580</v>
      </c>
      <c r="J86" s="29">
        <f t="shared" si="2"/>
        <v>3330</v>
      </c>
      <c r="K86" s="29">
        <f t="shared" si="3"/>
        <v>3750</v>
      </c>
      <c r="L86" s="90">
        <f t="shared" si="8"/>
        <v>1501</v>
      </c>
      <c r="M86" s="2">
        <v>0</v>
      </c>
      <c r="N86" s="2">
        <f t="shared" si="9"/>
        <v>79</v>
      </c>
      <c r="O86" s="90">
        <f t="shared" si="10"/>
        <v>3330</v>
      </c>
      <c r="P86" s="90">
        <f t="shared" si="7"/>
        <v>4025.2</v>
      </c>
    </row>
    <row r="87" spans="1:16" x14ac:dyDescent="0.3">
      <c r="A87" s="2" t="s">
        <v>56</v>
      </c>
      <c r="B87" s="2" t="s">
        <v>17</v>
      </c>
      <c r="C87" s="2" t="s">
        <v>58</v>
      </c>
      <c r="D87" s="1">
        <v>850</v>
      </c>
      <c r="E87" s="1">
        <v>1510</v>
      </c>
      <c r="F87" s="2">
        <v>37500</v>
      </c>
      <c r="H87" s="11" t="str">
        <f t="shared" si="0"/>
        <v>Appartement 1965 tot en met 1974 2 m2 tot 50 m2</v>
      </c>
      <c r="I87" s="29">
        <f t="shared" si="1"/>
        <v>850</v>
      </c>
      <c r="J87" s="29">
        <f t="shared" si="2"/>
        <v>1510</v>
      </c>
      <c r="K87" s="29">
        <f t="shared" si="3"/>
        <v>37500</v>
      </c>
      <c r="L87" s="90">
        <f t="shared" si="8"/>
        <v>807.5</v>
      </c>
      <c r="M87" s="2">
        <v>0</v>
      </c>
      <c r="N87" s="2">
        <f t="shared" si="9"/>
        <v>42.5</v>
      </c>
      <c r="O87" s="90">
        <f t="shared" si="10"/>
        <v>1510</v>
      </c>
      <c r="P87" s="90">
        <f t="shared" si="7"/>
        <v>1884</v>
      </c>
    </row>
    <row r="88" spans="1:16" x14ac:dyDescent="0.3">
      <c r="A88" s="2" t="s">
        <v>56</v>
      </c>
      <c r="B88" s="2" t="s">
        <v>17</v>
      </c>
      <c r="C88" s="2" t="s">
        <v>66</v>
      </c>
      <c r="D88" s="1">
        <v>1930</v>
      </c>
      <c r="E88" s="1">
        <v>4140</v>
      </c>
      <c r="F88" s="2">
        <v>3750</v>
      </c>
      <c r="H88" s="11" t="str">
        <f t="shared" si="0"/>
        <v>Appartement 1965 tot en met 1974 250 m2 tot 10.000m2</v>
      </c>
      <c r="I88" s="29">
        <f t="shared" si="1"/>
        <v>1930</v>
      </c>
      <c r="J88" s="29">
        <f t="shared" si="2"/>
        <v>4140</v>
      </c>
      <c r="K88" s="29">
        <f t="shared" si="3"/>
        <v>3750</v>
      </c>
      <c r="L88" s="90">
        <f t="shared" si="8"/>
        <v>1833.5</v>
      </c>
      <c r="M88" s="2">
        <v>0</v>
      </c>
      <c r="N88" s="2">
        <f t="shared" si="9"/>
        <v>96.5</v>
      </c>
      <c r="O88" s="90">
        <f t="shared" si="10"/>
        <v>4140</v>
      </c>
      <c r="P88" s="90">
        <f t="shared" si="7"/>
        <v>4989.2</v>
      </c>
    </row>
    <row r="89" spans="1:16" x14ac:dyDescent="0.3">
      <c r="A89" s="2" t="s">
        <v>56</v>
      </c>
      <c r="B89" s="2" t="s">
        <v>17</v>
      </c>
      <c r="C89" s="2" t="s">
        <v>18</v>
      </c>
      <c r="D89" s="1">
        <v>890</v>
      </c>
      <c r="E89" s="1">
        <v>1830</v>
      </c>
      <c r="F89" s="2">
        <v>175000</v>
      </c>
      <c r="H89" s="11" t="str">
        <f t="shared" ref="H89:H152" si="11">_xlfn.CONCAT(A89," ",B89," ",C89)</f>
        <v>Appartement 1965 tot en met 1974 50 m2 tot 75 m2</v>
      </c>
      <c r="I89" s="29">
        <f t="shared" ref="I89:I152" si="12">D89</f>
        <v>890</v>
      </c>
      <c r="J89" s="29">
        <f t="shared" ref="J89:J152" si="13">E89</f>
        <v>1830</v>
      </c>
      <c r="K89" s="29">
        <f t="shared" ref="K89:K152" si="14">F89</f>
        <v>175000</v>
      </c>
      <c r="L89" s="90">
        <f t="shared" si="8"/>
        <v>845.5</v>
      </c>
      <c r="M89" s="2">
        <v>0</v>
      </c>
      <c r="N89" s="2">
        <f t="shared" si="9"/>
        <v>44.5</v>
      </c>
      <c r="O89" s="90">
        <f t="shared" si="10"/>
        <v>1830</v>
      </c>
      <c r="P89" s="90">
        <f t="shared" ref="P89:P152" si="15">(N89*8.8)+O89</f>
        <v>2221.6</v>
      </c>
    </row>
    <row r="90" spans="1:16" x14ac:dyDescent="0.3">
      <c r="A90" s="2" t="s">
        <v>56</v>
      </c>
      <c r="B90" s="2" t="s">
        <v>17</v>
      </c>
      <c r="C90" s="2" t="s">
        <v>60</v>
      </c>
      <c r="D90" s="1">
        <v>960</v>
      </c>
      <c r="E90" s="1">
        <v>2210</v>
      </c>
      <c r="F90" s="2">
        <v>175000</v>
      </c>
      <c r="H90" s="11" t="str">
        <f t="shared" si="11"/>
        <v>Appartement 1965 tot en met 1974 75 m2 tot 100 m2</v>
      </c>
      <c r="I90" s="29">
        <f t="shared" si="12"/>
        <v>960</v>
      </c>
      <c r="J90" s="29">
        <f t="shared" si="13"/>
        <v>2210</v>
      </c>
      <c r="K90" s="29">
        <f t="shared" si="14"/>
        <v>175000</v>
      </c>
      <c r="L90" s="90">
        <f t="shared" si="8"/>
        <v>912</v>
      </c>
      <c r="M90" s="2">
        <v>0</v>
      </c>
      <c r="N90" s="2">
        <f t="shared" si="9"/>
        <v>48</v>
      </c>
      <c r="O90" s="90">
        <f t="shared" si="10"/>
        <v>2210</v>
      </c>
      <c r="P90" s="90">
        <f t="shared" si="15"/>
        <v>2632.4</v>
      </c>
    </row>
    <row r="91" spans="1:16" x14ac:dyDescent="0.3">
      <c r="A91" s="2" t="s">
        <v>56</v>
      </c>
      <c r="B91" s="2" t="s">
        <v>61</v>
      </c>
      <c r="C91" s="2" t="s">
        <v>22</v>
      </c>
      <c r="D91" s="1">
        <v>1100</v>
      </c>
      <c r="E91" s="1">
        <v>2430</v>
      </c>
      <c r="F91" s="2">
        <v>37500</v>
      </c>
      <c r="H91" s="11" t="str">
        <f t="shared" si="11"/>
        <v>Appartement 1975 tot en met 1991 100 m2 tot 150 m2</v>
      </c>
      <c r="I91" s="29">
        <f t="shared" si="12"/>
        <v>1100</v>
      </c>
      <c r="J91" s="29">
        <f t="shared" si="13"/>
        <v>2430</v>
      </c>
      <c r="K91" s="29">
        <f t="shared" si="14"/>
        <v>37500</v>
      </c>
      <c r="L91" s="90">
        <f t="shared" si="8"/>
        <v>1045</v>
      </c>
      <c r="M91" s="2">
        <v>0</v>
      </c>
      <c r="N91" s="2">
        <f t="shared" si="9"/>
        <v>55</v>
      </c>
      <c r="O91" s="90">
        <f t="shared" si="10"/>
        <v>2430</v>
      </c>
      <c r="P91" s="90">
        <f t="shared" si="15"/>
        <v>2914</v>
      </c>
    </row>
    <row r="92" spans="1:16" x14ac:dyDescent="0.3">
      <c r="A92" s="2" t="s">
        <v>56</v>
      </c>
      <c r="B92" s="2" t="s">
        <v>61</v>
      </c>
      <c r="C92" s="2" t="s">
        <v>64</v>
      </c>
      <c r="D92" s="1">
        <v>1540</v>
      </c>
      <c r="E92" s="1">
        <v>3410</v>
      </c>
      <c r="F92" s="2">
        <v>7500</v>
      </c>
      <c r="H92" s="11" t="str">
        <f t="shared" si="11"/>
        <v>Appartement 1975 tot en met 1991 150 m2 tot 250 m2</v>
      </c>
      <c r="I92" s="29">
        <f t="shared" si="12"/>
        <v>1540</v>
      </c>
      <c r="J92" s="29">
        <f t="shared" si="13"/>
        <v>3410</v>
      </c>
      <c r="K92" s="29">
        <f t="shared" si="14"/>
        <v>7500</v>
      </c>
      <c r="L92" s="90">
        <f t="shared" si="8"/>
        <v>1463</v>
      </c>
      <c r="M92" s="2">
        <v>0</v>
      </c>
      <c r="N92" s="2">
        <f t="shared" si="9"/>
        <v>77</v>
      </c>
      <c r="O92" s="90">
        <f t="shared" si="10"/>
        <v>3410</v>
      </c>
      <c r="P92" s="90">
        <f t="shared" si="15"/>
        <v>4087.6</v>
      </c>
    </row>
    <row r="93" spans="1:16" x14ac:dyDescent="0.3">
      <c r="A93" s="2" t="s">
        <v>56</v>
      </c>
      <c r="B93" s="2" t="s">
        <v>61</v>
      </c>
      <c r="C93" s="2" t="s">
        <v>58</v>
      </c>
      <c r="D93" s="1">
        <v>700</v>
      </c>
      <c r="E93" s="1">
        <v>1480</v>
      </c>
      <c r="F93" s="2">
        <v>87500</v>
      </c>
      <c r="H93" s="11" t="str">
        <f t="shared" si="11"/>
        <v>Appartement 1975 tot en met 1991 2 m2 tot 50 m2</v>
      </c>
      <c r="I93" s="29">
        <f t="shared" si="12"/>
        <v>700</v>
      </c>
      <c r="J93" s="29">
        <f t="shared" si="13"/>
        <v>1480</v>
      </c>
      <c r="K93" s="29">
        <f t="shared" si="14"/>
        <v>87500</v>
      </c>
      <c r="L93" s="90">
        <f t="shared" si="8"/>
        <v>665</v>
      </c>
      <c r="M93" s="2">
        <v>0</v>
      </c>
      <c r="N93" s="2">
        <f t="shared" si="9"/>
        <v>35</v>
      </c>
      <c r="O93" s="90">
        <f t="shared" si="10"/>
        <v>1480</v>
      </c>
      <c r="P93" s="90">
        <f t="shared" si="15"/>
        <v>1788</v>
      </c>
    </row>
    <row r="94" spans="1:16" x14ac:dyDescent="0.3">
      <c r="A94" s="2" t="s">
        <v>56</v>
      </c>
      <c r="B94" s="2" t="s">
        <v>61</v>
      </c>
      <c r="C94" s="2" t="s">
        <v>66</v>
      </c>
      <c r="D94" s="1">
        <v>1710</v>
      </c>
      <c r="E94" s="1">
        <v>3850</v>
      </c>
      <c r="F94" s="2">
        <v>3750</v>
      </c>
      <c r="H94" s="11" t="str">
        <f t="shared" si="11"/>
        <v>Appartement 1975 tot en met 1991 250 m2 tot 10.000m2</v>
      </c>
      <c r="I94" s="29">
        <f t="shared" si="12"/>
        <v>1710</v>
      </c>
      <c r="J94" s="29">
        <f t="shared" si="13"/>
        <v>3850</v>
      </c>
      <c r="K94" s="29">
        <f t="shared" si="14"/>
        <v>3750</v>
      </c>
      <c r="L94" s="90">
        <f t="shared" si="8"/>
        <v>1624.5</v>
      </c>
      <c r="M94" s="2">
        <v>0</v>
      </c>
      <c r="N94" s="2">
        <f t="shared" si="9"/>
        <v>85.5</v>
      </c>
      <c r="O94" s="90">
        <f t="shared" si="10"/>
        <v>3850</v>
      </c>
      <c r="P94" s="90">
        <f t="shared" si="15"/>
        <v>4602.3999999999996</v>
      </c>
    </row>
    <row r="95" spans="1:16" x14ac:dyDescent="0.3">
      <c r="A95" s="2" t="s">
        <v>56</v>
      </c>
      <c r="B95" s="2" t="s">
        <v>61</v>
      </c>
      <c r="C95" s="2" t="s">
        <v>18</v>
      </c>
      <c r="D95" s="1">
        <v>770</v>
      </c>
      <c r="E95" s="1">
        <v>1670</v>
      </c>
      <c r="F95" s="2">
        <v>175000</v>
      </c>
      <c r="H95" s="11" t="str">
        <f t="shared" si="11"/>
        <v>Appartement 1975 tot en met 1991 50 m2 tot 75 m2</v>
      </c>
      <c r="I95" s="29">
        <f t="shared" si="12"/>
        <v>770</v>
      </c>
      <c r="J95" s="29">
        <f t="shared" si="13"/>
        <v>1670</v>
      </c>
      <c r="K95" s="29">
        <f t="shared" si="14"/>
        <v>175000</v>
      </c>
      <c r="L95" s="90">
        <f t="shared" si="8"/>
        <v>731.5</v>
      </c>
      <c r="M95" s="2">
        <v>0</v>
      </c>
      <c r="N95" s="2">
        <f t="shared" si="9"/>
        <v>38.5</v>
      </c>
      <c r="O95" s="90">
        <f t="shared" si="10"/>
        <v>1670</v>
      </c>
      <c r="P95" s="90">
        <f t="shared" si="15"/>
        <v>2008.8</v>
      </c>
    </row>
    <row r="96" spans="1:16" x14ac:dyDescent="0.3">
      <c r="A96" s="2" t="s">
        <v>56</v>
      </c>
      <c r="B96" s="2" t="s">
        <v>61</v>
      </c>
      <c r="C96" s="2" t="s">
        <v>60</v>
      </c>
      <c r="D96" s="1">
        <v>900</v>
      </c>
      <c r="E96" s="1">
        <v>2010</v>
      </c>
      <c r="F96" s="2">
        <v>175000</v>
      </c>
      <c r="H96" s="11" t="str">
        <f t="shared" si="11"/>
        <v>Appartement 1975 tot en met 1991 75 m2 tot 100 m2</v>
      </c>
      <c r="I96" s="29">
        <f t="shared" si="12"/>
        <v>900</v>
      </c>
      <c r="J96" s="29">
        <f t="shared" si="13"/>
        <v>2010</v>
      </c>
      <c r="K96" s="29">
        <f t="shared" si="14"/>
        <v>175000</v>
      </c>
      <c r="L96" s="90">
        <f t="shared" si="8"/>
        <v>855</v>
      </c>
      <c r="M96" s="2">
        <v>0</v>
      </c>
      <c r="N96" s="2">
        <f t="shared" si="9"/>
        <v>45</v>
      </c>
      <c r="O96" s="90">
        <f t="shared" si="10"/>
        <v>2010</v>
      </c>
      <c r="P96" s="90">
        <f t="shared" si="15"/>
        <v>2406</v>
      </c>
    </row>
    <row r="97" spans="1:16" x14ac:dyDescent="0.3">
      <c r="A97" s="2" t="s">
        <v>56</v>
      </c>
      <c r="B97" s="2" t="s">
        <v>63</v>
      </c>
      <c r="C97" s="2" t="s">
        <v>22</v>
      </c>
      <c r="D97" s="1">
        <v>900</v>
      </c>
      <c r="E97" s="1">
        <v>2450</v>
      </c>
      <c r="F97" s="2">
        <v>37500</v>
      </c>
      <c r="H97" s="11" t="str">
        <f t="shared" si="11"/>
        <v>Appartement 1992 tot en met 1999 100 m2 tot 150 m2</v>
      </c>
      <c r="I97" s="29">
        <f t="shared" si="12"/>
        <v>900</v>
      </c>
      <c r="J97" s="29">
        <f t="shared" si="13"/>
        <v>2450</v>
      </c>
      <c r="K97" s="29">
        <f t="shared" si="14"/>
        <v>37500</v>
      </c>
      <c r="L97" s="90">
        <f t="shared" si="8"/>
        <v>855</v>
      </c>
      <c r="M97" s="2">
        <v>0</v>
      </c>
      <c r="N97" s="2">
        <f t="shared" si="9"/>
        <v>45</v>
      </c>
      <c r="O97" s="90">
        <f t="shared" si="10"/>
        <v>2450</v>
      </c>
      <c r="P97" s="90">
        <f t="shared" si="15"/>
        <v>2846</v>
      </c>
    </row>
    <row r="98" spans="1:16" x14ac:dyDescent="0.3">
      <c r="A98" s="2" t="s">
        <v>56</v>
      </c>
      <c r="B98" s="2" t="s">
        <v>63</v>
      </c>
      <c r="C98" s="2" t="s">
        <v>64</v>
      </c>
      <c r="D98" s="1">
        <v>1320</v>
      </c>
      <c r="E98" s="1">
        <v>3340</v>
      </c>
      <c r="F98" s="2">
        <v>3750</v>
      </c>
      <c r="H98" s="11" t="str">
        <f t="shared" si="11"/>
        <v>Appartement 1992 tot en met 1999 150 m2 tot 250 m2</v>
      </c>
      <c r="I98" s="29">
        <f t="shared" si="12"/>
        <v>1320</v>
      </c>
      <c r="J98" s="29">
        <f t="shared" si="13"/>
        <v>3340</v>
      </c>
      <c r="K98" s="29">
        <f t="shared" si="14"/>
        <v>3750</v>
      </c>
      <c r="L98" s="90">
        <f t="shared" si="8"/>
        <v>1254</v>
      </c>
      <c r="M98" s="2">
        <v>0</v>
      </c>
      <c r="N98" s="2">
        <f t="shared" si="9"/>
        <v>66</v>
      </c>
      <c r="O98" s="90">
        <f t="shared" si="10"/>
        <v>3340</v>
      </c>
      <c r="P98" s="90">
        <f t="shared" si="15"/>
        <v>3920.8</v>
      </c>
    </row>
    <row r="99" spans="1:16" x14ac:dyDescent="0.3">
      <c r="A99" s="2" t="s">
        <v>56</v>
      </c>
      <c r="B99" s="2" t="s">
        <v>63</v>
      </c>
      <c r="C99" s="2" t="s">
        <v>58</v>
      </c>
      <c r="D99" s="1">
        <v>770</v>
      </c>
      <c r="E99" s="1">
        <v>1430</v>
      </c>
      <c r="F99" s="2">
        <v>17500</v>
      </c>
      <c r="H99" s="11" t="str">
        <f t="shared" si="11"/>
        <v>Appartement 1992 tot en met 1999 2 m2 tot 50 m2</v>
      </c>
      <c r="I99" s="29">
        <f t="shared" si="12"/>
        <v>770</v>
      </c>
      <c r="J99" s="29">
        <f t="shared" si="13"/>
        <v>1430</v>
      </c>
      <c r="K99" s="29">
        <f t="shared" si="14"/>
        <v>17500</v>
      </c>
      <c r="L99" s="90">
        <f t="shared" si="8"/>
        <v>731.5</v>
      </c>
      <c r="M99" s="2">
        <v>0</v>
      </c>
      <c r="N99" s="2">
        <f t="shared" si="9"/>
        <v>38.5</v>
      </c>
      <c r="O99" s="90">
        <f t="shared" si="10"/>
        <v>1430</v>
      </c>
      <c r="P99" s="90">
        <f t="shared" si="15"/>
        <v>1768.8</v>
      </c>
    </row>
    <row r="100" spans="1:16" x14ac:dyDescent="0.3">
      <c r="A100" s="2" t="s">
        <v>56</v>
      </c>
      <c r="B100" s="2" t="s">
        <v>63</v>
      </c>
      <c r="C100" s="2" t="s">
        <v>66</v>
      </c>
      <c r="D100" s="1">
        <v>1490</v>
      </c>
      <c r="E100" s="1">
        <v>3900</v>
      </c>
      <c r="F100" s="2">
        <v>3750</v>
      </c>
      <c r="H100" s="11" t="str">
        <f t="shared" si="11"/>
        <v>Appartement 1992 tot en met 1999 250 m2 tot 10.000m2</v>
      </c>
      <c r="I100" s="29">
        <f t="shared" si="12"/>
        <v>1490</v>
      </c>
      <c r="J100" s="29">
        <f t="shared" si="13"/>
        <v>3900</v>
      </c>
      <c r="K100" s="29">
        <f t="shared" si="14"/>
        <v>3750</v>
      </c>
      <c r="L100" s="90">
        <f t="shared" si="8"/>
        <v>1415.5</v>
      </c>
      <c r="M100" s="2">
        <v>0</v>
      </c>
      <c r="N100" s="2">
        <f t="shared" si="9"/>
        <v>74.5</v>
      </c>
      <c r="O100" s="90">
        <f t="shared" si="10"/>
        <v>3900</v>
      </c>
      <c r="P100" s="90">
        <f t="shared" si="15"/>
        <v>4555.6000000000004</v>
      </c>
    </row>
    <row r="101" spans="1:16" x14ac:dyDescent="0.3">
      <c r="A101" s="2" t="s">
        <v>56</v>
      </c>
      <c r="B101" s="2" t="s">
        <v>63</v>
      </c>
      <c r="C101" s="2" t="s">
        <v>18</v>
      </c>
      <c r="D101" s="1">
        <v>670</v>
      </c>
      <c r="E101" s="1">
        <v>1640</v>
      </c>
      <c r="F101" s="2">
        <v>87500</v>
      </c>
      <c r="H101" s="11" t="str">
        <f t="shared" si="11"/>
        <v>Appartement 1992 tot en met 1999 50 m2 tot 75 m2</v>
      </c>
      <c r="I101" s="29">
        <f t="shared" si="12"/>
        <v>670</v>
      </c>
      <c r="J101" s="29">
        <f t="shared" si="13"/>
        <v>1640</v>
      </c>
      <c r="K101" s="29">
        <f t="shared" si="14"/>
        <v>87500</v>
      </c>
      <c r="L101" s="90">
        <f t="shared" si="8"/>
        <v>636.5</v>
      </c>
      <c r="M101" s="2">
        <v>0</v>
      </c>
      <c r="N101" s="2">
        <f t="shared" si="9"/>
        <v>33.5</v>
      </c>
      <c r="O101" s="90">
        <f t="shared" si="10"/>
        <v>1640</v>
      </c>
      <c r="P101" s="90">
        <f t="shared" si="15"/>
        <v>1934.8</v>
      </c>
    </row>
    <row r="102" spans="1:16" x14ac:dyDescent="0.3">
      <c r="A102" s="2" t="s">
        <v>56</v>
      </c>
      <c r="B102" s="2" t="s">
        <v>63</v>
      </c>
      <c r="C102" s="2" t="s">
        <v>60</v>
      </c>
      <c r="D102" s="1">
        <v>740</v>
      </c>
      <c r="E102" s="1">
        <v>1960</v>
      </c>
      <c r="F102" s="2">
        <v>87500</v>
      </c>
      <c r="H102" s="11" t="str">
        <f t="shared" si="11"/>
        <v>Appartement 1992 tot en met 1999 75 m2 tot 100 m2</v>
      </c>
      <c r="I102" s="29">
        <f t="shared" si="12"/>
        <v>740</v>
      </c>
      <c r="J102" s="29">
        <f t="shared" si="13"/>
        <v>1960</v>
      </c>
      <c r="K102" s="29">
        <f t="shared" si="14"/>
        <v>87500</v>
      </c>
      <c r="L102" s="90">
        <f t="shared" si="8"/>
        <v>703</v>
      </c>
      <c r="M102" s="2">
        <v>0</v>
      </c>
      <c r="N102" s="2">
        <f t="shared" si="9"/>
        <v>37</v>
      </c>
      <c r="O102" s="90">
        <f t="shared" si="10"/>
        <v>1960</v>
      </c>
      <c r="P102" s="90">
        <f t="shared" si="15"/>
        <v>2285.6</v>
      </c>
    </row>
    <row r="103" spans="1:16" x14ac:dyDescent="0.3">
      <c r="A103" s="2" t="s">
        <v>56</v>
      </c>
      <c r="B103" s="2" t="s">
        <v>65</v>
      </c>
      <c r="C103" s="2" t="s">
        <v>22</v>
      </c>
      <c r="D103" s="1">
        <v>790</v>
      </c>
      <c r="E103" s="1">
        <v>2530</v>
      </c>
      <c r="F103" s="2">
        <v>37500</v>
      </c>
      <c r="H103" s="11" t="str">
        <f t="shared" si="11"/>
        <v>Appartement 2000 tot en met 2005 100 m2 tot 150 m2</v>
      </c>
      <c r="I103" s="29">
        <f t="shared" si="12"/>
        <v>790</v>
      </c>
      <c r="J103" s="29">
        <f t="shared" si="13"/>
        <v>2530</v>
      </c>
      <c r="K103" s="29">
        <f t="shared" si="14"/>
        <v>37500</v>
      </c>
      <c r="L103" s="90">
        <f t="shared" si="8"/>
        <v>750.5</v>
      </c>
      <c r="M103" s="2">
        <v>0</v>
      </c>
      <c r="N103" s="2">
        <f t="shared" si="9"/>
        <v>39.5</v>
      </c>
      <c r="O103" s="90">
        <f t="shared" si="10"/>
        <v>2530</v>
      </c>
      <c r="P103" s="90">
        <f t="shared" si="15"/>
        <v>2877.6</v>
      </c>
    </row>
    <row r="104" spans="1:16" x14ac:dyDescent="0.3">
      <c r="A104" s="2" t="s">
        <v>56</v>
      </c>
      <c r="B104" s="2" t="s">
        <v>65</v>
      </c>
      <c r="C104" s="2" t="s">
        <v>64</v>
      </c>
      <c r="D104" s="1">
        <v>1170</v>
      </c>
      <c r="E104" s="1">
        <v>3350</v>
      </c>
      <c r="F104" s="2">
        <v>7500</v>
      </c>
      <c r="H104" s="11" t="str">
        <f t="shared" si="11"/>
        <v>Appartement 2000 tot en met 2005 150 m2 tot 250 m2</v>
      </c>
      <c r="I104" s="29">
        <f t="shared" si="12"/>
        <v>1170</v>
      </c>
      <c r="J104" s="29">
        <f t="shared" si="13"/>
        <v>3350</v>
      </c>
      <c r="K104" s="29">
        <f t="shared" si="14"/>
        <v>7500</v>
      </c>
      <c r="L104" s="90">
        <f t="shared" si="8"/>
        <v>1111.5</v>
      </c>
      <c r="M104" s="2">
        <v>0</v>
      </c>
      <c r="N104" s="2">
        <f t="shared" si="9"/>
        <v>58.5</v>
      </c>
      <c r="O104" s="90">
        <f t="shared" si="10"/>
        <v>3350</v>
      </c>
      <c r="P104" s="90">
        <f t="shared" si="15"/>
        <v>3864.8</v>
      </c>
    </row>
    <row r="105" spans="1:16" x14ac:dyDescent="0.3">
      <c r="A105" s="2" t="s">
        <v>56</v>
      </c>
      <c r="B105" s="2" t="s">
        <v>65</v>
      </c>
      <c r="C105" s="2" t="s">
        <v>58</v>
      </c>
      <c r="D105" s="1">
        <v>750</v>
      </c>
      <c r="E105" s="1">
        <v>1440</v>
      </c>
      <c r="F105" s="2">
        <v>7500</v>
      </c>
      <c r="H105" s="11" t="str">
        <f t="shared" si="11"/>
        <v>Appartement 2000 tot en met 2005 2 m2 tot 50 m2</v>
      </c>
      <c r="I105" s="29">
        <f t="shared" si="12"/>
        <v>750</v>
      </c>
      <c r="J105" s="29">
        <f t="shared" si="13"/>
        <v>1440</v>
      </c>
      <c r="K105" s="29">
        <f t="shared" si="14"/>
        <v>7500</v>
      </c>
      <c r="L105" s="90">
        <f t="shared" si="8"/>
        <v>712.5</v>
      </c>
      <c r="M105" s="2">
        <v>0</v>
      </c>
      <c r="N105" s="2">
        <f t="shared" si="9"/>
        <v>37.5</v>
      </c>
      <c r="O105" s="90">
        <f t="shared" si="10"/>
        <v>1440</v>
      </c>
      <c r="P105" s="90">
        <f t="shared" si="15"/>
        <v>1770</v>
      </c>
    </row>
    <row r="106" spans="1:16" x14ac:dyDescent="0.3">
      <c r="A106" s="2" t="s">
        <v>56</v>
      </c>
      <c r="B106" s="2" t="s">
        <v>65</v>
      </c>
      <c r="C106" s="2" t="s">
        <v>66</v>
      </c>
      <c r="D106" s="1">
        <v>1560</v>
      </c>
      <c r="E106" s="1">
        <v>4100</v>
      </c>
      <c r="F106" s="2">
        <v>750</v>
      </c>
      <c r="H106" s="11" t="str">
        <f t="shared" si="11"/>
        <v>Appartement 2000 tot en met 2005 250 m2 tot 10.000m2</v>
      </c>
      <c r="I106" s="29">
        <f t="shared" si="12"/>
        <v>1560</v>
      </c>
      <c r="J106" s="29">
        <f t="shared" si="13"/>
        <v>4100</v>
      </c>
      <c r="K106" s="29">
        <f t="shared" si="14"/>
        <v>750</v>
      </c>
      <c r="L106" s="90">
        <f t="shared" si="8"/>
        <v>1482</v>
      </c>
      <c r="M106" s="2">
        <v>0</v>
      </c>
      <c r="N106" s="2">
        <f t="shared" si="9"/>
        <v>78</v>
      </c>
      <c r="O106" s="90">
        <f t="shared" si="10"/>
        <v>4100</v>
      </c>
      <c r="P106" s="90">
        <f t="shared" si="15"/>
        <v>4786.3999999999996</v>
      </c>
    </row>
    <row r="107" spans="1:16" x14ac:dyDescent="0.3">
      <c r="A107" s="2" t="s">
        <v>56</v>
      </c>
      <c r="B107" s="2" t="s">
        <v>65</v>
      </c>
      <c r="C107" s="2" t="s">
        <v>18</v>
      </c>
      <c r="D107" s="1">
        <v>660</v>
      </c>
      <c r="E107" s="1">
        <v>1760</v>
      </c>
      <c r="F107" s="2">
        <v>17500</v>
      </c>
      <c r="H107" s="11" t="str">
        <f t="shared" si="11"/>
        <v>Appartement 2000 tot en met 2005 50 m2 tot 75 m2</v>
      </c>
      <c r="I107" s="29">
        <f t="shared" si="12"/>
        <v>660</v>
      </c>
      <c r="J107" s="29">
        <f t="shared" si="13"/>
        <v>1760</v>
      </c>
      <c r="K107" s="29">
        <f t="shared" si="14"/>
        <v>17500</v>
      </c>
      <c r="L107" s="90">
        <f t="shared" si="8"/>
        <v>627</v>
      </c>
      <c r="M107" s="2">
        <v>0</v>
      </c>
      <c r="N107" s="2">
        <f t="shared" si="9"/>
        <v>33</v>
      </c>
      <c r="O107" s="90">
        <f t="shared" si="10"/>
        <v>1760</v>
      </c>
      <c r="P107" s="90">
        <f t="shared" si="15"/>
        <v>2050.4</v>
      </c>
    </row>
    <row r="108" spans="1:16" x14ac:dyDescent="0.3">
      <c r="A108" s="2" t="s">
        <v>56</v>
      </c>
      <c r="B108" s="2" t="s">
        <v>65</v>
      </c>
      <c r="C108" s="2" t="s">
        <v>60</v>
      </c>
      <c r="D108" s="1">
        <v>680</v>
      </c>
      <c r="E108" s="1">
        <v>2060</v>
      </c>
      <c r="F108" s="2">
        <v>62500</v>
      </c>
      <c r="H108" s="11" t="str">
        <f t="shared" si="11"/>
        <v>Appartement 2000 tot en met 2005 75 m2 tot 100 m2</v>
      </c>
      <c r="I108" s="29">
        <f t="shared" si="12"/>
        <v>680</v>
      </c>
      <c r="J108" s="29">
        <f t="shared" si="13"/>
        <v>2060</v>
      </c>
      <c r="K108" s="29">
        <f t="shared" si="14"/>
        <v>62500</v>
      </c>
      <c r="L108" s="90">
        <f t="shared" si="8"/>
        <v>646</v>
      </c>
      <c r="M108" s="2">
        <v>0</v>
      </c>
      <c r="N108" s="2">
        <f t="shared" si="9"/>
        <v>34</v>
      </c>
      <c r="O108" s="90">
        <f t="shared" si="10"/>
        <v>2060</v>
      </c>
      <c r="P108" s="90">
        <f t="shared" si="15"/>
        <v>2359.1999999999998</v>
      </c>
    </row>
    <row r="109" spans="1:16" x14ac:dyDescent="0.3">
      <c r="A109" s="2" t="s">
        <v>56</v>
      </c>
      <c r="B109" s="2" t="s">
        <v>67</v>
      </c>
      <c r="C109" s="2" t="s">
        <v>22</v>
      </c>
      <c r="D109" s="1">
        <v>780</v>
      </c>
      <c r="E109" s="1">
        <v>2420</v>
      </c>
      <c r="F109" s="2">
        <v>37500</v>
      </c>
      <c r="H109" s="11" t="str">
        <f t="shared" si="11"/>
        <v>Appartement 2006 tot en met 2012 100 m2 tot 150 m2</v>
      </c>
      <c r="I109" s="29">
        <f t="shared" si="12"/>
        <v>780</v>
      </c>
      <c r="J109" s="29">
        <f t="shared" si="13"/>
        <v>2420</v>
      </c>
      <c r="K109" s="29">
        <f t="shared" si="14"/>
        <v>37500</v>
      </c>
      <c r="L109" s="90">
        <f t="shared" si="8"/>
        <v>741</v>
      </c>
      <c r="M109" s="2">
        <v>0</v>
      </c>
      <c r="N109" s="2">
        <f t="shared" si="9"/>
        <v>39</v>
      </c>
      <c r="O109" s="90">
        <f t="shared" si="10"/>
        <v>2420</v>
      </c>
      <c r="P109" s="90">
        <f t="shared" si="15"/>
        <v>2763.2</v>
      </c>
    </row>
    <row r="110" spans="1:16" x14ac:dyDescent="0.3">
      <c r="A110" s="2" t="s">
        <v>56</v>
      </c>
      <c r="B110" s="2" t="s">
        <v>67</v>
      </c>
      <c r="C110" s="2" t="s">
        <v>64</v>
      </c>
      <c r="D110" s="1">
        <v>1130</v>
      </c>
      <c r="E110" s="1">
        <v>3270</v>
      </c>
      <c r="F110" s="2">
        <v>7500</v>
      </c>
      <c r="H110" s="11" t="str">
        <f t="shared" si="11"/>
        <v>Appartement 2006 tot en met 2012 150 m2 tot 250 m2</v>
      </c>
      <c r="I110" s="29">
        <f t="shared" si="12"/>
        <v>1130</v>
      </c>
      <c r="J110" s="29">
        <f t="shared" si="13"/>
        <v>3270</v>
      </c>
      <c r="K110" s="29">
        <f t="shared" si="14"/>
        <v>7500</v>
      </c>
      <c r="L110" s="90">
        <f t="shared" si="8"/>
        <v>1073.5</v>
      </c>
      <c r="M110" s="2">
        <v>0</v>
      </c>
      <c r="N110" s="2">
        <f t="shared" si="9"/>
        <v>56.5</v>
      </c>
      <c r="O110" s="90">
        <f t="shared" si="10"/>
        <v>3270</v>
      </c>
      <c r="P110" s="90">
        <f t="shared" si="15"/>
        <v>3767.2</v>
      </c>
    </row>
    <row r="111" spans="1:16" x14ac:dyDescent="0.3">
      <c r="A111" s="2" t="s">
        <v>56</v>
      </c>
      <c r="B111" s="2" t="s">
        <v>67</v>
      </c>
      <c r="C111" s="2" t="s">
        <v>58</v>
      </c>
      <c r="D111" s="1">
        <v>650</v>
      </c>
      <c r="E111" s="1">
        <v>1420</v>
      </c>
      <c r="F111" s="2">
        <v>17500</v>
      </c>
      <c r="H111" s="11" t="str">
        <f t="shared" si="11"/>
        <v>Appartement 2006 tot en met 2012 2 m2 tot 50 m2</v>
      </c>
      <c r="I111" s="29">
        <f t="shared" si="12"/>
        <v>650</v>
      </c>
      <c r="J111" s="29">
        <f t="shared" si="13"/>
        <v>1420</v>
      </c>
      <c r="K111" s="29">
        <f t="shared" si="14"/>
        <v>17500</v>
      </c>
      <c r="L111" s="90">
        <f t="shared" si="8"/>
        <v>617.5</v>
      </c>
      <c r="M111" s="2">
        <v>0</v>
      </c>
      <c r="N111" s="2">
        <f t="shared" si="9"/>
        <v>32.5</v>
      </c>
      <c r="O111" s="90">
        <f t="shared" si="10"/>
        <v>1420</v>
      </c>
      <c r="P111" s="90">
        <f t="shared" si="15"/>
        <v>1706</v>
      </c>
    </row>
    <row r="112" spans="1:16" x14ac:dyDescent="0.3">
      <c r="A112" s="2" t="s">
        <v>56</v>
      </c>
      <c r="B112" s="2" t="s">
        <v>67</v>
      </c>
      <c r="C112" s="2" t="s">
        <v>66</v>
      </c>
      <c r="D112" s="1">
        <v>1500</v>
      </c>
      <c r="E112" s="1">
        <v>4260</v>
      </c>
      <c r="F112" s="2">
        <v>3750</v>
      </c>
      <c r="H112" s="11" t="str">
        <f t="shared" si="11"/>
        <v>Appartement 2006 tot en met 2012 250 m2 tot 10.000m2</v>
      </c>
      <c r="I112" s="29">
        <f t="shared" si="12"/>
        <v>1500</v>
      </c>
      <c r="J112" s="29">
        <f t="shared" si="13"/>
        <v>4260</v>
      </c>
      <c r="K112" s="29">
        <f t="shared" si="14"/>
        <v>3750</v>
      </c>
      <c r="L112" s="90">
        <f t="shared" si="8"/>
        <v>1425</v>
      </c>
      <c r="M112" s="2">
        <v>0</v>
      </c>
      <c r="N112" s="2">
        <f t="shared" si="9"/>
        <v>75</v>
      </c>
      <c r="O112" s="90">
        <f t="shared" si="10"/>
        <v>4260</v>
      </c>
      <c r="P112" s="90">
        <f t="shared" si="15"/>
        <v>4920</v>
      </c>
    </row>
    <row r="113" spans="1:16" x14ac:dyDescent="0.3">
      <c r="A113" s="2" t="s">
        <v>56</v>
      </c>
      <c r="B113" s="2" t="s">
        <v>67</v>
      </c>
      <c r="C113" s="2" t="s">
        <v>18</v>
      </c>
      <c r="D113" s="1">
        <v>630</v>
      </c>
      <c r="E113" s="1">
        <v>1670</v>
      </c>
      <c r="F113" s="2">
        <v>37500</v>
      </c>
      <c r="H113" s="11" t="str">
        <f t="shared" si="11"/>
        <v>Appartement 2006 tot en met 2012 50 m2 tot 75 m2</v>
      </c>
      <c r="I113" s="29">
        <f t="shared" si="12"/>
        <v>630</v>
      </c>
      <c r="J113" s="29">
        <f t="shared" si="13"/>
        <v>1670</v>
      </c>
      <c r="K113" s="29">
        <f t="shared" si="14"/>
        <v>37500</v>
      </c>
      <c r="L113" s="90">
        <f t="shared" si="8"/>
        <v>598.5</v>
      </c>
      <c r="M113" s="2">
        <v>0</v>
      </c>
      <c r="N113" s="2">
        <f t="shared" si="9"/>
        <v>31.5</v>
      </c>
      <c r="O113" s="90">
        <f t="shared" si="10"/>
        <v>1670</v>
      </c>
      <c r="P113" s="90">
        <f t="shared" si="15"/>
        <v>1947.2</v>
      </c>
    </row>
    <row r="114" spans="1:16" x14ac:dyDescent="0.3">
      <c r="A114" s="2" t="s">
        <v>56</v>
      </c>
      <c r="B114" s="2" t="s">
        <v>67</v>
      </c>
      <c r="C114" s="2" t="s">
        <v>60</v>
      </c>
      <c r="D114" s="1">
        <v>660</v>
      </c>
      <c r="E114" s="1">
        <v>1990</v>
      </c>
      <c r="F114" s="2">
        <v>62500</v>
      </c>
      <c r="H114" s="11" t="str">
        <f t="shared" si="11"/>
        <v>Appartement 2006 tot en met 2012 75 m2 tot 100 m2</v>
      </c>
      <c r="I114" s="29">
        <f t="shared" si="12"/>
        <v>660</v>
      </c>
      <c r="J114" s="29">
        <f t="shared" si="13"/>
        <v>1990</v>
      </c>
      <c r="K114" s="29">
        <f t="shared" si="14"/>
        <v>62500</v>
      </c>
      <c r="L114" s="90">
        <f t="shared" si="8"/>
        <v>627</v>
      </c>
      <c r="M114" s="2">
        <v>0</v>
      </c>
      <c r="N114" s="2">
        <f t="shared" si="9"/>
        <v>33</v>
      </c>
      <c r="O114" s="90">
        <f t="shared" si="10"/>
        <v>1990</v>
      </c>
      <c r="P114" s="90">
        <f t="shared" si="15"/>
        <v>2280.4</v>
      </c>
    </row>
    <row r="115" spans="1:16" x14ac:dyDescent="0.3">
      <c r="A115" s="2" t="s">
        <v>56</v>
      </c>
      <c r="B115" s="2" t="s">
        <v>68</v>
      </c>
      <c r="C115" s="2" t="s">
        <v>22</v>
      </c>
      <c r="D115" s="1">
        <v>750</v>
      </c>
      <c r="E115" s="1">
        <v>2430</v>
      </c>
      <c r="F115" s="2">
        <v>17500</v>
      </c>
      <c r="H115" s="11" t="str">
        <f t="shared" si="11"/>
        <v>Appartement vanaf 2013 100 m2 tot 150 m2</v>
      </c>
      <c r="I115" s="29">
        <f t="shared" si="12"/>
        <v>750</v>
      </c>
      <c r="J115" s="29">
        <f t="shared" si="13"/>
        <v>2430</v>
      </c>
      <c r="K115" s="29">
        <f t="shared" si="14"/>
        <v>17500</v>
      </c>
      <c r="L115" s="90">
        <f t="shared" ref="L115:L120" si="16">I115</f>
        <v>750</v>
      </c>
      <c r="M115" s="2">
        <v>250</v>
      </c>
      <c r="N115" s="2">
        <v>0</v>
      </c>
      <c r="O115" s="90">
        <f t="shared" ref="O115:O120" si="17">J115-250</f>
        <v>2180</v>
      </c>
      <c r="P115" s="90">
        <f t="shared" si="15"/>
        <v>2180</v>
      </c>
    </row>
    <row r="116" spans="1:16" x14ac:dyDescent="0.3">
      <c r="A116" s="2" t="s">
        <v>56</v>
      </c>
      <c r="B116" s="2" t="s">
        <v>68</v>
      </c>
      <c r="C116" s="2" t="s">
        <v>64</v>
      </c>
      <c r="D116" s="1">
        <v>1110</v>
      </c>
      <c r="E116" s="1">
        <v>3460</v>
      </c>
      <c r="F116" s="2">
        <v>3750</v>
      </c>
      <c r="H116" s="11" t="str">
        <f t="shared" si="11"/>
        <v>Appartement vanaf 2013 150 m2 tot 250 m2</v>
      </c>
      <c r="I116" s="29">
        <f t="shared" si="12"/>
        <v>1110</v>
      </c>
      <c r="J116" s="29">
        <f t="shared" si="13"/>
        <v>3460</v>
      </c>
      <c r="K116" s="29">
        <f t="shared" si="14"/>
        <v>3750</v>
      </c>
      <c r="L116" s="90">
        <f t="shared" si="16"/>
        <v>1110</v>
      </c>
      <c r="M116" s="2">
        <v>250</v>
      </c>
      <c r="N116" s="2">
        <v>0</v>
      </c>
      <c r="O116" s="90">
        <f t="shared" si="17"/>
        <v>3210</v>
      </c>
      <c r="P116" s="90">
        <f t="shared" si="15"/>
        <v>3210</v>
      </c>
    </row>
    <row r="117" spans="1:16" x14ac:dyDescent="0.3">
      <c r="A117" s="2" t="s">
        <v>56</v>
      </c>
      <c r="B117" s="2" t="s">
        <v>68</v>
      </c>
      <c r="C117" s="2" t="s">
        <v>58</v>
      </c>
      <c r="D117" s="1">
        <v>540</v>
      </c>
      <c r="E117" s="1">
        <v>1340</v>
      </c>
      <c r="F117" s="2">
        <v>17500</v>
      </c>
      <c r="H117" s="11" t="str">
        <f t="shared" si="11"/>
        <v>Appartement vanaf 2013 2 m2 tot 50 m2</v>
      </c>
      <c r="I117" s="29">
        <f t="shared" si="12"/>
        <v>540</v>
      </c>
      <c r="J117" s="29">
        <f t="shared" si="13"/>
        <v>1340</v>
      </c>
      <c r="K117" s="29">
        <f t="shared" si="14"/>
        <v>17500</v>
      </c>
      <c r="L117" s="90">
        <f t="shared" si="16"/>
        <v>540</v>
      </c>
      <c r="M117" s="2">
        <v>250</v>
      </c>
      <c r="N117" s="2">
        <v>0</v>
      </c>
      <c r="O117" s="90">
        <f t="shared" si="17"/>
        <v>1090</v>
      </c>
      <c r="P117" s="90">
        <f t="shared" si="15"/>
        <v>1090</v>
      </c>
    </row>
    <row r="118" spans="1:16" x14ac:dyDescent="0.3">
      <c r="A118" s="2" t="s">
        <v>56</v>
      </c>
      <c r="B118" s="2" t="s">
        <v>68</v>
      </c>
      <c r="C118" s="2" t="s">
        <v>66</v>
      </c>
      <c r="D118" s="1">
        <v>1700</v>
      </c>
      <c r="E118" s="1">
        <v>4700</v>
      </c>
      <c r="F118" s="2">
        <v>750</v>
      </c>
      <c r="H118" s="11" t="str">
        <f t="shared" si="11"/>
        <v>Appartement vanaf 2013 250 m2 tot 10.000m2</v>
      </c>
      <c r="I118" s="29">
        <f t="shared" si="12"/>
        <v>1700</v>
      </c>
      <c r="J118" s="29">
        <f t="shared" si="13"/>
        <v>4700</v>
      </c>
      <c r="K118" s="29">
        <f t="shared" si="14"/>
        <v>750</v>
      </c>
      <c r="L118" s="90">
        <f t="shared" si="16"/>
        <v>1700</v>
      </c>
      <c r="M118" s="2">
        <v>250</v>
      </c>
      <c r="N118" s="2">
        <v>0</v>
      </c>
      <c r="O118" s="90">
        <f t="shared" si="17"/>
        <v>4450</v>
      </c>
      <c r="P118" s="90">
        <f t="shared" si="15"/>
        <v>4450</v>
      </c>
    </row>
    <row r="119" spans="1:16" x14ac:dyDescent="0.3">
      <c r="A119" s="2" t="s">
        <v>56</v>
      </c>
      <c r="B119" s="2" t="s">
        <v>68</v>
      </c>
      <c r="C119" s="2" t="s">
        <v>18</v>
      </c>
      <c r="D119" s="1">
        <v>580</v>
      </c>
      <c r="E119" s="1">
        <v>1630</v>
      </c>
      <c r="F119" s="2">
        <v>17500</v>
      </c>
      <c r="H119" s="11" t="str">
        <f t="shared" si="11"/>
        <v>Appartement vanaf 2013 50 m2 tot 75 m2</v>
      </c>
      <c r="I119" s="29">
        <f t="shared" si="12"/>
        <v>580</v>
      </c>
      <c r="J119" s="29">
        <f t="shared" si="13"/>
        <v>1630</v>
      </c>
      <c r="K119" s="29">
        <f t="shared" si="14"/>
        <v>17500</v>
      </c>
      <c r="L119" s="90">
        <f t="shared" si="16"/>
        <v>580</v>
      </c>
      <c r="M119" s="2">
        <v>250</v>
      </c>
      <c r="N119" s="2">
        <v>0</v>
      </c>
      <c r="O119" s="90">
        <f t="shared" si="17"/>
        <v>1380</v>
      </c>
      <c r="P119" s="90">
        <f t="shared" si="15"/>
        <v>1380</v>
      </c>
    </row>
    <row r="120" spans="1:16" x14ac:dyDescent="0.3">
      <c r="A120" s="2" t="s">
        <v>56</v>
      </c>
      <c r="B120" s="2" t="s">
        <v>68</v>
      </c>
      <c r="C120" s="2" t="s">
        <v>60</v>
      </c>
      <c r="D120" s="1">
        <v>600</v>
      </c>
      <c r="E120" s="1">
        <v>1940</v>
      </c>
      <c r="F120" s="2">
        <v>37500</v>
      </c>
      <c r="H120" s="11" t="str">
        <f t="shared" si="11"/>
        <v>Appartement vanaf 2013 75 m2 tot 100 m2</v>
      </c>
      <c r="I120" s="29">
        <f t="shared" si="12"/>
        <v>600</v>
      </c>
      <c r="J120" s="29">
        <f t="shared" si="13"/>
        <v>1940</v>
      </c>
      <c r="K120" s="29">
        <f t="shared" si="14"/>
        <v>37500</v>
      </c>
      <c r="L120" s="90">
        <f t="shared" si="16"/>
        <v>600</v>
      </c>
      <c r="M120" s="2">
        <v>250</v>
      </c>
      <c r="N120" s="2">
        <v>0</v>
      </c>
      <c r="O120" s="90">
        <f t="shared" si="17"/>
        <v>1690</v>
      </c>
      <c r="P120" s="90">
        <f t="shared" si="15"/>
        <v>1690</v>
      </c>
    </row>
    <row r="121" spans="1:16" x14ac:dyDescent="0.3">
      <c r="A121" s="2" t="s">
        <v>20</v>
      </c>
      <c r="B121" s="2" t="s">
        <v>57</v>
      </c>
      <c r="C121" s="2" t="s">
        <v>22</v>
      </c>
      <c r="D121" s="1">
        <v>1650</v>
      </c>
      <c r="E121" s="1">
        <v>3040</v>
      </c>
      <c r="F121" s="2">
        <v>37500</v>
      </c>
      <c r="H121" s="11" t="str">
        <f t="shared" si="11"/>
        <v>Hoekwoning 1200 tot en met 1945 100 m2 tot 150 m2</v>
      </c>
      <c r="I121" s="29">
        <f t="shared" si="12"/>
        <v>1650</v>
      </c>
      <c r="J121" s="29">
        <f t="shared" si="13"/>
        <v>3040</v>
      </c>
      <c r="K121" s="29">
        <f t="shared" si="14"/>
        <v>37500</v>
      </c>
      <c r="L121" s="90">
        <f t="shared" ref="L121:L162" si="18">I121-N121</f>
        <v>1567.5</v>
      </c>
      <c r="M121" s="2">
        <v>0</v>
      </c>
      <c r="N121" s="2">
        <f t="shared" ref="N121:N162" si="19">I121*0.05</f>
        <v>82.5</v>
      </c>
      <c r="O121" s="90">
        <f t="shared" ref="O121:O162" si="20">J121</f>
        <v>3040</v>
      </c>
      <c r="P121" s="90">
        <f t="shared" si="15"/>
        <v>3766</v>
      </c>
    </row>
    <row r="122" spans="1:16" x14ac:dyDescent="0.3">
      <c r="A122" s="2" t="s">
        <v>20</v>
      </c>
      <c r="B122" s="2" t="s">
        <v>57</v>
      </c>
      <c r="C122" s="2" t="s">
        <v>64</v>
      </c>
      <c r="D122" s="1">
        <v>2100</v>
      </c>
      <c r="E122" s="1">
        <v>3740</v>
      </c>
      <c r="F122" s="2">
        <v>17500</v>
      </c>
      <c r="H122" s="11" t="str">
        <f t="shared" si="11"/>
        <v>Hoekwoning 1200 tot en met 1945 150 m2 tot 250 m2</v>
      </c>
      <c r="I122" s="29">
        <f t="shared" si="12"/>
        <v>2100</v>
      </c>
      <c r="J122" s="29">
        <f t="shared" si="13"/>
        <v>3740</v>
      </c>
      <c r="K122" s="29">
        <f t="shared" si="14"/>
        <v>17500</v>
      </c>
      <c r="L122" s="90">
        <f t="shared" si="18"/>
        <v>1995</v>
      </c>
      <c r="M122" s="2">
        <v>0</v>
      </c>
      <c r="N122" s="2">
        <f t="shared" si="19"/>
        <v>105</v>
      </c>
      <c r="O122" s="90">
        <f t="shared" si="20"/>
        <v>3740</v>
      </c>
      <c r="P122" s="90">
        <f t="shared" si="15"/>
        <v>4664</v>
      </c>
    </row>
    <row r="123" spans="1:16" x14ac:dyDescent="0.3">
      <c r="A123" s="2" t="s">
        <v>20</v>
      </c>
      <c r="B123" s="2" t="s">
        <v>57</v>
      </c>
      <c r="C123" s="2" t="s">
        <v>58</v>
      </c>
      <c r="D123" s="1">
        <v>1070</v>
      </c>
      <c r="E123" s="1">
        <v>1870</v>
      </c>
      <c r="F123" s="2">
        <v>3750</v>
      </c>
      <c r="H123" s="11" t="str">
        <f t="shared" si="11"/>
        <v>Hoekwoning 1200 tot en met 1945 2 m2 tot 50 m2</v>
      </c>
      <c r="I123" s="29">
        <f t="shared" si="12"/>
        <v>1070</v>
      </c>
      <c r="J123" s="29">
        <f t="shared" si="13"/>
        <v>1870</v>
      </c>
      <c r="K123" s="29">
        <f t="shared" si="14"/>
        <v>3750</v>
      </c>
      <c r="L123" s="90">
        <f t="shared" si="18"/>
        <v>1016.5</v>
      </c>
      <c r="M123" s="2">
        <v>0</v>
      </c>
      <c r="N123" s="2">
        <f t="shared" si="19"/>
        <v>53.5</v>
      </c>
      <c r="O123" s="90">
        <f t="shared" si="20"/>
        <v>1870</v>
      </c>
      <c r="P123" s="90">
        <f t="shared" si="15"/>
        <v>2340.8000000000002</v>
      </c>
    </row>
    <row r="124" spans="1:16" x14ac:dyDescent="0.3">
      <c r="A124" s="2" t="s">
        <v>20</v>
      </c>
      <c r="B124" s="2" t="s">
        <v>57</v>
      </c>
      <c r="C124" s="2" t="s">
        <v>66</v>
      </c>
      <c r="D124" s="1">
        <v>2480</v>
      </c>
      <c r="E124" s="1">
        <v>4360</v>
      </c>
      <c r="F124" s="2">
        <v>7500</v>
      </c>
      <c r="H124" s="11" t="str">
        <f t="shared" si="11"/>
        <v>Hoekwoning 1200 tot en met 1945 250 m2 tot 10.000m2</v>
      </c>
      <c r="I124" s="29">
        <f t="shared" si="12"/>
        <v>2480</v>
      </c>
      <c r="J124" s="29">
        <f t="shared" si="13"/>
        <v>4360</v>
      </c>
      <c r="K124" s="29">
        <f t="shared" si="14"/>
        <v>7500</v>
      </c>
      <c r="L124" s="90">
        <f t="shared" si="18"/>
        <v>2356</v>
      </c>
      <c r="M124" s="2">
        <v>0</v>
      </c>
      <c r="N124" s="2">
        <f t="shared" si="19"/>
        <v>124</v>
      </c>
      <c r="O124" s="90">
        <f t="shared" si="20"/>
        <v>4360</v>
      </c>
      <c r="P124" s="90">
        <f t="shared" si="15"/>
        <v>5451.2</v>
      </c>
    </row>
    <row r="125" spans="1:16" x14ac:dyDescent="0.3">
      <c r="A125" s="2" t="s">
        <v>20</v>
      </c>
      <c r="B125" s="2" t="s">
        <v>57</v>
      </c>
      <c r="C125" s="2" t="s">
        <v>18</v>
      </c>
      <c r="D125" s="1">
        <v>1200</v>
      </c>
      <c r="E125" s="1">
        <v>2160</v>
      </c>
      <c r="F125" s="2">
        <v>17500</v>
      </c>
      <c r="H125" s="11" t="str">
        <f t="shared" si="11"/>
        <v>Hoekwoning 1200 tot en met 1945 50 m2 tot 75 m2</v>
      </c>
      <c r="I125" s="29">
        <f t="shared" si="12"/>
        <v>1200</v>
      </c>
      <c r="J125" s="29">
        <f t="shared" si="13"/>
        <v>2160</v>
      </c>
      <c r="K125" s="29">
        <f t="shared" si="14"/>
        <v>17500</v>
      </c>
      <c r="L125" s="90">
        <f t="shared" si="18"/>
        <v>1140</v>
      </c>
      <c r="M125" s="2">
        <v>0</v>
      </c>
      <c r="N125" s="2">
        <f t="shared" si="19"/>
        <v>60</v>
      </c>
      <c r="O125" s="90">
        <f t="shared" si="20"/>
        <v>2160</v>
      </c>
      <c r="P125" s="90">
        <f t="shared" si="15"/>
        <v>2688</v>
      </c>
    </row>
    <row r="126" spans="1:16" x14ac:dyDescent="0.3">
      <c r="A126" s="2" t="s">
        <v>20</v>
      </c>
      <c r="B126" s="2" t="s">
        <v>57</v>
      </c>
      <c r="C126" s="2" t="s">
        <v>60</v>
      </c>
      <c r="D126" s="1">
        <v>1370</v>
      </c>
      <c r="E126" s="1">
        <v>2520</v>
      </c>
      <c r="F126" s="2">
        <v>37500</v>
      </c>
      <c r="H126" s="11" t="str">
        <f t="shared" si="11"/>
        <v>Hoekwoning 1200 tot en met 1945 75 m2 tot 100 m2</v>
      </c>
      <c r="I126" s="29">
        <f t="shared" si="12"/>
        <v>1370</v>
      </c>
      <c r="J126" s="29">
        <f t="shared" si="13"/>
        <v>2520</v>
      </c>
      <c r="K126" s="29">
        <f t="shared" si="14"/>
        <v>37500</v>
      </c>
      <c r="L126" s="90">
        <f t="shared" si="18"/>
        <v>1301.5</v>
      </c>
      <c r="M126" s="2">
        <v>0</v>
      </c>
      <c r="N126" s="2">
        <f t="shared" si="19"/>
        <v>68.5</v>
      </c>
      <c r="O126" s="90">
        <f t="shared" si="20"/>
        <v>2520</v>
      </c>
      <c r="P126" s="90">
        <f t="shared" si="15"/>
        <v>3122.8</v>
      </c>
    </row>
    <row r="127" spans="1:16" x14ac:dyDescent="0.3">
      <c r="A127" s="2" t="s">
        <v>20</v>
      </c>
      <c r="B127" s="2" t="s">
        <v>21</v>
      </c>
      <c r="C127" s="2" t="s">
        <v>22</v>
      </c>
      <c r="D127" s="1">
        <v>1500</v>
      </c>
      <c r="E127" s="1">
        <v>2950</v>
      </c>
      <c r="F127" s="2">
        <v>62500</v>
      </c>
      <c r="H127" s="11" t="str">
        <f t="shared" si="11"/>
        <v>Hoekwoning 1946 tot en met 1964 100 m2 tot 150 m2</v>
      </c>
      <c r="I127" s="29">
        <f t="shared" si="12"/>
        <v>1500</v>
      </c>
      <c r="J127" s="29">
        <f t="shared" si="13"/>
        <v>2950</v>
      </c>
      <c r="K127" s="29">
        <f t="shared" si="14"/>
        <v>62500</v>
      </c>
      <c r="L127" s="90">
        <f t="shared" si="18"/>
        <v>1425</v>
      </c>
      <c r="M127" s="2">
        <v>0</v>
      </c>
      <c r="N127" s="2">
        <f t="shared" si="19"/>
        <v>75</v>
      </c>
      <c r="O127" s="90">
        <f t="shared" si="20"/>
        <v>2950</v>
      </c>
      <c r="P127" s="90">
        <f t="shared" si="15"/>
        <v>3610</v>
      </c>
    </row>
    <row r="128" spans="1:16" x14ac:dyDescent="0.3">
      <c r="A128" s="2" t="s">
        <v>20</v>
      </c>
      <c r="B128" s="2" t="s">
        <v>21</v>
      </c>
      <c r="C128" s="2" t="s">
        <v>64</v>
      </c>
      <c r="D128" s="1">
        <v>1850</v>
      </c>
      <c r="E128" s="1">
        <v>3620</v>
      </c>
      <c r="F128" s="2">
        <v>17500</v>
      </c>
      <c r="H128" s="11" t="str">
        <f t="shared" si="11"/>
        <v>Hoekwoning 1946 tot en met 1964 150 m2 tot 250 m2</v>
      </c>
      <c r="I128" s="29">
        <f t="shared" si="12"/>
        <v>1850</v>
      </c>
      <c r="J128" s="29">
        <f t="shared" si="13"/>
        <v>3620</v>
      </c>
      <c r="K128" s="29">
        <f t="shared" si="14"/>
        <v>17500</v>
      </c>
      <c r="L128" s="90">
        <f t="shared" si="18"/>
        <v>1757.5</v>
      </c>
      <c r="M128" s="2">
        <v>0</v>
      </c>
      <c r="N128" s="2">
        <f t="shared" si="19"/>
        <v>92.5</v>
      </c>
      <c r="O128" s="90">
        <f t="shared" si="20"/>
        <v>3620</v>
      </c>
      <c r="P128" s="90">
        <f t="shared" si="15"/>
        <v>4434</v>
      </c>
    </row>
    <row r="129" spans="1:16" x14ac:dyDescent="0.3">
      <c r="A129" s="2" t="s">
        <v>20</v>
      </c>
      <c r="B129" s="2" t="s">
        <v>21</v>
      </c>
      <c r="C129" s="2" t="s">
        <v>58</v>
      </c>
      <c r="D129" s="1">
        <v>1180</v>
      </c>
      <c r="E129" s="1">
        <v>2190</v>
      </c>
      <c r="F129" s="2">
        <v>750</v>
      </c>
      <c r="H129" s="11" t="str">
        <f t="shared" si="11"/>
        <v>Hoekwoning 1946 tot en met 1964 2 m2 tot 50 m2</v>
      </c>
      <c r="I129" s="29">
        <f t="shared" si="12"/>
        <v>1180</v>
      </c>
      <c r="J129" s="29">
        <f t="shared" si="13"/>
        <v>2190</v>
      </c>
      <c r="K129" s="29">
        <f t="shared" si="14"/>
        <v>750</v>
      </c>
      <c r="L129" s="90">
        <f t="shared" si="18"/>
        <v>1121</v>
      </c>
      <c r="M129" s="2">
        <v>0</v>
      </c>
      <c r="N129" s="2">
        <f t="shared" si="19"/>
        <v>59</v>
      </c>
      <c r="O129" s="90">
        <f t="shared" si="20"/>
        <v>2190</v>
      </c>
      <c r="P129" s="90">
        <f t="shared" si="15"/>
        <v>2709.2</v>
      </c>
    </row>
    <row r="130" spans="1:16" x14ac:dyDescent="0.3">
      <c r="A130" s="2" t="s">
        <v>20</v>
      </c>
      <c r="B130" s="2" t="s">
        <v>21</v>
      </c>
      <c r="C130" s="2" t="s">
        <v>66</v>
      </c>
      <c r="D130" s="1">
        <v>2070</v>
      </c>
      <c r="E130" s="1">
        <v>3950</v>
      </c>
      <c r="F130" s="2">
        <v>750</v>
      </c>
      <c r="H130" s="11" t="str">
        <f t="shared" si="11"/>
        <v>Hoekwoning 1946 tot en met 1964 250 m2 tot 10.000m2</v>
      </c>
      <c r="I130" s="29">
        <f t="shared" si="12"/>
        <v>2070</v>
      </c>
      <c r="J130" s="29">
        <f t="shared" si="13"/>
        <v>3950</v>
      </c>
      <c r="K130" s="29">
        <f t="shared" si="14"/>
        <v>750</v>
      </c>
      <c r="L130" s="90">
        <f t="shared" si="18"/>
        <v>1966.5</v>
      </c>
      <c r="M130" s="2">
        <v>0</v>
      </c>
      <c r="N130" s="2">
        <f t="shared" si="19"/>
        <v>103.5</v>
      </c>
      <c r="O130" s="90">
        <f t="shared" si="20"/>
        <v>3950</v>
      </c>
      <c r="P130" s="90">
        <f t="shared" si="15"/>
        <v>4860.8</v>
      </c>
    </row>
    <row r="131" spans="1:16" x14ac:dyDescent="0.3">
      <c r="A131" s="2" t="s">
        <v>20</v>
      </c>
      <c r="B131" s="2" t="s">
        <v>21</v>
      </c>
      <c r="C131" s="2" t="s">
        <v>18</v>
      </c>
      <c r="D131" s="1">
        <v>1190</v>
      </c>
      <c r="E131" s="1">
        <v>2150</v>
      </c>
      <c r="F131" s="2">
        <v>7500</v>
      </c>
      <c r="H131" s="11" t="str">
        <f t="shared" si="11"/>
        <v>Hoekwoning 1946 tot en met 1964 50 m2 tot 75 m2</v>
      </c>
      <c r="I131" s="29">
        <f t="shared" si="12"/>
        <v>1190</v>
      </c>
      <c r="J131" s="29">
        <f t="shared" si="13"/>
        <v>2150</v>
      </c>
      <c r="K131" s="29">
        <f t="shared" si="14"/>
        <v>7500</v>
      </c>
      <c r="L131" s="90">
        <f t="shared" si="18"/>
        <v>1130.5</v>
      </c>
      <c r="M131" s="2">
        <v>0</v>
      </c>
      <c r="N131" s="2">
        <f t="shared" si="19"/>
        <v>59.5</v>
      </c>
      <c r="O131" s="90">
        <f t="shared" si="20"/>
        <v>2150</v>
      </c>
      <c r="P131" s="90">
        <f t="shared" si="15"/>
        <v>2673.6</v>
      </c>
    </row>
    <row r="132" spans="1:16" x14ac:dyDescent="0.3">
      <c r="A132" s="2" t="s">
        <v>20</v>
      </c>
      <c r="B132" s="2" t="s">
        <v>21</v>
      </c>
      <c r="C132" s="2" t="s">
        <v>60</v>
      </c>
      <c r="D132" s="1">
        <v>1300</v>
      </c>
      <c r="E132" s="1">
        <v>2440</v>
      </c>
      <c r="F132" s="2">
        <v>62500</v>
      </c>
      <c r="H132" s="11" t="str">
        <f t="shared" si="11"/>
        <v>Hoekwoning 1946 tot en met 1964 75 m2 tot 100 m2</v>
      </c>
      <c r="I132" s="29">
        <f t="shared" si="12"/>
        <v>1300</v>
      </c>
      <c r="J132" s="29">
        <f t="shared" si="13"/>
        <v>2440</v>
      </c>
      <c r="K132" s="29">
        <f t="shared" si="14"/>
        <v>62500</v>
      </c>
      <c r="L132" s="90">
        <f t="shared" si="18"/>
        <v>1235</v>
      </c>
      <c r="M132" s="2">
        <v>0</v>
      </c>
      <c r="N132" s="2">
        <f t="shared" si="19"/>
        <v>65</v>
      </c>
      <c r="O132" s="90">
        <f t="shared" si="20"/>
        <v>2440</v>
      </c>
      <c r="P132" s="90">
        <f t="shared" si="15"/>
        <v>3012</v>
      </c>
    </row>
    <row r="133" spans="1:16" x14ac:dyDescent="0.3">
      <c r="A133" s="2" t="s">
        <v>20</v>
      </c>
      <c r="B133" s="2" t="s">
        <v>17</v>
      </c>
      <c r="C133" s="2" t="s">
        <v>22</v>
      </c>
      <c r="D133" s="1">
        <v>1450</v>
      </c>
      <c r="E133" s="1">
        <v>2880</v>
      </c>
      <c r="F133" s="2">
        <v>175000</v>
      </c>
      <c r="H133" s="11" t="str">
        <f t="shared" si="11"/>
        <v>Hoekwoning 1965 tot en met 1974 100 m2 tot 150 m2</v>
      </c>
      <c r="I133" s="29">
        <f t="shared" si="12"/>
        <v>1450</v>
      </c>
      <c r="J133" s="29">
        <f t="shared" si="13"/>
        <v>2880</v>
      </c>
      <c r="K133" s="29">
        <f t="shared" si="14"/>
        <v>175000</v>
      </c>
      <c r="L133" s="90">
        <f t="shared" si="18"/>
        <v>1377.5</v>
      </c>
      <c r="M133" s="2">
        <v>0</v>
      </c>
      <c r="N133" s="2">
        <f t="shared" si="19"/>
        <v>72.5</v>
      </c>
      <c r="O133" s="90">
        <f t="shared" si="20"/>
        <v>2880</v>
      </c>
      <c r="P133" s="90">
        <f t="shared" si="15"/>
        <v>3518</v>
      </c>
    </row>
    <row r="134" spans="1:16" x14ac:dyDescent="0.3">
      <c r="A134" s="2" t="s">
        <v>20</v>
      </c>
      <c r="B134" s="2" t="s">
        <v>17</v>
      </c>
      <c r="C134" s="2" t="s">
        <v>64</v>
      </c>
      <c r="D134" s="1">
        <v>1810</v>
      </c>
      <c r="E134" s="1">
        <v>3500</v>
      </c>
      <c r="F134" s="2">
        <v>17500</v>
      </c>
      <c r="H134" s="11" t="str">
        <f t="shared" si="11"/>
        <v>Hoekwoning 1965 tot en met 1974 150 m2 tot 250 m2</v>
      </c>
      <c r="I134" s="29">
        <f t="shared" si="12"/>
        <v>1810</v>
      </c>
      <c r="J134" s="29">
        <f t="shared" si="13"/>
        <v>3500</v>
      </c>
      <c r="K134" s="29">
        <f t="shared" si="14"/>
        <v>17500</v>
      </c>
      <c r="L134" s="90">
        <f t="shared" si="18"/>
        <v>1719.5</v>
      </c>
      <c r="M134" s="2">
        <v>0</v>
      </c>
      <c r="N134" s="2">
        <f t="shared" si="19"/>
        <v>90.5</v>
      </c>
      <c r="O134" s="90">
        <f t="shared" si="20"/>
        <v>3500</v>
      </c>
      <c r="P134" s="90">
        <f t="shared" si="15"/>
        <v>4296.3999999999996</v>
      </c>
    </row>
    <row r="135" spans="1:16" x14ac:dyDescent="0.3">
      <c r="A135" s="2" t="s">
        <v>20</v>
      </c>
      <c r="B135" s="2" t="s">
        <v>17</v>
      </c>
      <c r="C135" s="2" t="s">
        <v>58</v>
      </c>
      <c r="D135" s="1">
        <v>1300</v>
      </c>
      <c r="E135" s="1">
        <v>2430</v>
      </c>
      <c r="F135" s="2">
        <v>275</v>
      </c>
      <c r="H135" s="11" t="str">
        <f t="shared" si="11"/>
        <v>Hoekwoning 1965 tot en met 1974 2 m2 tot 50 m2</v>
      </c>
      <c r="I135" s="29">
        <f t="shared" si="12"/>
        <v>1300</v>
      </c>
      <c r="J135" s="29">
        <f t="shared" si="13"/>
        <v>2430</v>
      </c>
      <c r="K135" s="29">
        <f t="shared" si="14"/>
        <v>275</v>
      </c>
      <c r="L135" s="90">
        <f t="shared" si="18"/>
        <v>1235</v>
      </c>
      <c r="M135" s="2">
        <v>0</v>
      </c>
      <c r="N135" s="2">
        <f t="shared" si="19"/>
        <v>65</v>
      </c>
      <c r="O135" s="90">
        <f t="shared" si="20"/>
        <v>2430</v>
      </c>
      <c r="P135" s="90">
        <f t="shared" si="15"/>
        <v>3002</v>
      </c>
    </row>
    <row r="136" spans="1:16" x14ac:dyDescent="0.3">
      <c r="A136" s="2" t="s">
        <v>20</v>
      </c>
      <c r="B136" s="2" t="s">
        <v>17</v>
      </c>
      <c r="C136" s="2" t="s">
        <v>66</v>
      </c>
      <c r="D136" s="1">
        <v>2020</v>
      </c>
      <c r="E136" s="1">
        <v>3910</v>
      </c>
      <c r="F136" s="2">
        <v>750</v>
      </c>
      <c r="H136" s="11" t="str">
        <f t="shared" si="11"/>
        <v>Hoekwoning 1965 tot en met 1974 250 m2 tot 10.000m2</v>
      </c>
      <c r="I136" s="29">
        <f t="shared" si="12"/>
        <v>2020</v>
      </c>
      <c r="J136" s="29">
        <f t="shared" si="13"/>
        <v>3910</v>
      </c>
      <c r="K136" s="29">
        <f t="shared" si="14"/>
        <v>750</v>
      </c>
      <c r="L136" s="90">
        <f t="shared" si="18"/>
        <v>1919</v>
      </c>
      <c r="M136" s="2">
        <v>0</v>
      </c>
      <c r="N136" s="2">
        <f t="shared" si="19"/>
        <v>101</v>
      </c>
      <c r="O136" s="90">
        <f t="shared" si="20"/>
        <v>3910</v>
      </c>
      <c r="P136" s="90">
        <f t="shared" si="15"/>
        <v>4798.8</v>
      </c>
    </row>
    <row r="137" spans="1:16" x14ac:dyDescent="0.3">
      <c r="A137" s="2" t="s">
        <v>20</v>
      </c>
      <c r="B137" s="2" t="s">
        <v>17</v>
      </c>
      <c r="C137" s="2" t="s">
        <v>18</v>
      </c>
      <c r="D137" s="1">
        <v>1120</v>
      </c>
      <c r="E137" s="1">
        <v>1780</v>
      </c>
      <c r="F137" s="2">
        <v>3750</v>
      </c>
      <c r="H137" s="11" t="str">
        <f t="shared" si="11"/>
        <v>Hoekwoning 1965 tot en met 1974 50 m2 tot 75 m2</v>
      </c>
      <c r="I137" s="29">
        <f t="shared" si="12"/>
        <v>1120</v>
      </c>
      <c r="J137" s="29">
        <f t="shared" si="13"/>
        <v>1780</v>
      </c>
      <c r="K137" s="29">
        <f t="shared" si="14"/>
        <v>3750</v>
      </c>
      <c r="L137" s="90">
        <f t="shared" si="18"/>
        <v>1064</v>
      </c>
      <c r="M137" s="2">
        <v>0</v>
      </c>
      <c r="N137" s="2">
        <f t="shared" si="19"/>
        <v>56</v>
      </c>
      <c r="O137" s="90">
        <f t="shared" si="20"/>
        <v>1780</v>
      </c>
      <c r="P137" s="90">
        <f t="shared" si="15"/>
        <v>2272.8000000000002</v>
      </c>
    </row>
    <row r="138" spans="1:16" x14ac:dyDescent="0.3">
      <c r="A138" s="2" t="s">
        <v>20</v>
      </c>
      <c r="B138" s="2" t="s">
        <v>17</v>
      </c>
      <c r="C138" s="2" t="s">
        <v>60</v>
      </c>
      <c r="D138" s="1">
        <v>1260</v>
      </c>
      <c r="E138" s="1">
        <v>2340</v>
      </c>
      <c r="F138" s="2">
        <v>37500</v>
      </c>
      <c r="H138" s="11" t="str">
        <f t="shared" si="11"/>
        <v>Hoekwoning 1965 tot en met 1974 75 m2 tot 100 m2</v>
      </c>
      <c r="I138" s="29">
        <f t="shared" si="12"/>
        <v>1260</v>
      </c>
      <c r="J138" s="29">
        <f t="shared" si="13"/>
        <v>2340</v>
      </c>
      <c r="K138" s="29">
        <f t="shared" si="14"/>
        <v>37500</v>
      </c>
      <c r="L138" s="90">
        <f t="shared" si="18"/>
        <v>1197</v>
      </c>
      <c r="M138" s="2">
        <v>0</v>
      </c>
      <c r="N138" s="2">
        <f t="shared" si="19"/>
        <v>63</v>
      </c>
      <c r="O138" s="90">
        <f t="shared" si="20"/>
        <v>2340</v>
      </c>
      <c r="P138" s="90">
        <f t="shared" si="15"/>
        <v>2894.4</v>
      </c>
    </row>
    <row r="139" spans="1:16" x14ac:dyDescent="0.3">
      <c r="A139" s="2" t="s">
        <v>20</v>
      </c>
      <c r="B139" s="2" t="s">
        <v>61</v>
      </c>
      <c r="C139" s="2" t="s">
        <v>22</v>
      </c>
      <c r="D139" s="1">
        <v>1320</v>
      </c>
      <c r="E139" s="1">
        <v>3010</v>
      </c>
      <c r="F139" s="2">
        <v>175000</v>
      </c>
      <c r="H139" s="11" t="str">
        <f t="shared" si="11"/>
        <v>Hoekwoning 1975 tot en met 1991 100 m2 tot 150 m2</v>
      </c>
      <c r="I139" s="29">
        <f t="shared" si="12"/>
        <v>1320</v>
      </c>
      <c r="J139" s="29">
        <f t="shared" si="13"/>
        <v>3010</v>
      </c>
      <c r="K139" s="29">
        <f t="shared" si="14"/>
        <v>175000</v>
      </c>
      <c r="L139" s="90">
        <f t="shared" si="18"/>
        <v>1254</v>
      </c>
      <c r="M139" s="2">
        <v>0</v>
      </c>
      <c r="N139" s="2">
        <f t="shared" si="19"/>
        <v>66</v>
      </c>
      <c r="O139" s="90">
        <f t="shared" si="20"/>
        <v>3010</v>
      </c>
      <c r="P139" s="90">
        <f t="shared" si="15"/>
        <v>3590.8</v>
      </c>
    </row>
    <row r="140" spans="1:16" x14ac:dyDescent="0.3">
      <c r="A140" s="2" t="s">
        <v>20</v>
      </c>
      <c r="B140" s="2" t="s">
        <v>61</v>
      </c>
      <c r="C140" s="2" t="s">
        <v>64</v>
      </c>
      <c r="D140" s="1">
        <v>1720</v>
      </c>
      <c r="E140" s="1">
        <v>3560</v>
      </c>
      <c r="F140" s="2">
        <v>37500</v>
      </c>
      <c r="H140" s="11" t="str">
        <f t="shared" si="11"/>
        <v>Hoekwoning 1975 tot en met 1991 150 m2 tot 250 m2</v>
      </c>
      <c r="I140" s="29">
        <f t="shared" si="12"/>
        <v>1720</v>
      </c>
      <c r="J140" s="29">
        <f t="shared" si="13"/>
        <v>3560</v>
      </c>
      <c r="K140" s="29">
        <f t="shared" si="14"/>
        <v>37500</v>
      </c>
      <c r="L140" s="90">
        <f t="shared" si="18"/>
        <v>1634</v>
      </c>
      <c r="M140" s="2">
        <v>0</v>
      </c>
      <c r="N140" s="2">
        <f t="shared" si="19"/>
        <v>86</v>
      </c>
      <c r="O140" s="90">
        <f t="shared" si="20"/>
        <v>3560</v>
      </c>
      <c r="P140" s="90">
        <f t="shared" si="15"/>
        <v>4316.8</v>
      </c>
    </row>
    <row r="141" spans="1:16" x14ac:dyDescent="0.3">
      <c r="A141" s="2" t="s">
        <v>20</v>
      </c>
      <c r="B141" s="2" t="s">
        <v>61</v>
      </c>
      <c r="C141" s="2" t="s">
        <v>58</v>
      </c>
      <c r="D141" s="1">
        <v>1050</v>
      </c>
      <c r="E141" s="1">
        <v>2120</v>
      </c>
      <c r="F141" s="2">
        <v>275</v>
      </c>
      <c r="H141" s="11" t="str">
        <f t="shared" si="11"/>
        <v>Hoekwoning 1975 tot en met 1991 2 m2 tot 50 m2</v>
      </c>
      <c r="I141" s="29">
        <f t="shared" si="12"/>
        <v>1050</v>
      </c>
      <c r="J141" s="29">
        <f t="shared" si="13"/>
        <v>2120</v>
      </c>
      <c r="K141" s="29">
        <f t="shared" si="14"/>
        <v>275</v>
      </c>
      <c r="L141" s="90">
        <f t="shared" si="18"/>
        <v>997.5</v>
      </c>
      <c r="M141" s="2">
        <v>0</v>
      </c>
      <c r="N141" s="2">
        <f t="shared" si="19"/>
        <v>52.5</v>
      </c>
      <c r="O141" s="90">
        <f t="shared" si="20"/>
        <v>2120</v>
      </c>
      <c r="P141" s="90">
        <f t="shared" si="15"/>
        <v>2582</v>
      </c>
    </row>
    <row r="142" spans="1:16" x14ac:dyDescent="0.3">
      <c r="A142" s="2" t="s">
        <v>20</v>
      </c>
      <c r="B142" s="2" t="s">
        <v>61</v>
      </c>
      <c r="C142" s="2" t="s">
        <v>66</v>
      </c>
      <c r="D142" s="1">
        <v>1900</v>
      </c>
      <c r="E142" s="1">
        <v>3840</v>
      </c>
      <c r="F142" s="2">
        <v>3750</v>
      </c>
      <c r="H142" s="11" t="str">
        <f t="shared" si="11"/>
        <v>Hoekwoning 1975 tot en met 1991 250 m2 tot 10.000m2</v>
      </c>
      <c r="I142" s="29">
        <f t="shared" si="12"/>
        <v>1900</v>
      </c>
      <c r="J142" s="29">
        <f t="shared" si="13"/>
        <v>3840</v>
      </c>
      <c r="K142" s="29">
        <f t="shared" si="14"/>
        <v>3750</v>
      </c>
      <c r="L142" s="90">
        <f t="shared" si="18"/>
        <v>1805</v>
      </c>
      <c r="M142" s="2">
        <v>0</v>
      </c>
      <c r="N142" s="2">
        <f t="shared" si="19"/>
        <v>95</v>
      </c>
      <c r="O142" s="90">
        <f t="shared" si="20"/>
        <v>3840</v>
      </c>
      <c r="P142" s="90">
        <f t="shared" si="15"/>
        <v>4676</v>
      </c>
    </row>
    <row r="143" spans="1:16" x14ac:dyDescent="0.3">
      <c r="A143" s="2" t="s">
        <v>20</v>
      </c>
      <c r="B143" s="2" t="s">
        <v>61</v>
      </c>
      <c r="C143" s="2" t="s">
        <v>18</v>
      </c>
      <c r="D143" s="1">
        <v>1010</v>
      </c>
      <c r="E143" s="1">
        <v>1860</v>
      </c>
      <c r="F143" s="2">
        <v>7500</v>
      </c>
      <c r="H143" s="11" t="str">
        <f t="shared" si="11"/>
        <v>Hoekwoning 1975 tot en met 1991 50 m2 tot 75 m2</v>
      </c>
      <c r="I143" s="29">
        <f t="shared" si="12"/>
        <v>1010</v>
      </c>
      <c r="J143" s="29">
        <f t="shared" si="13"/>
        <v>1860</v>
      </c>
      <c r="K143" s="29">
        <f t="shared" si="14"/>
        <v>7500</v>
      </c>
      <c r="L143" s="90">
        <f t="shared" si="18"/>
        <v>959.5</v>
      </c>
      <c r="M143" s="2">
        <v>0</v>
      </c>
      <c r="N143" s="2">
        <f t="shared" si="19"/>
        <v>50.5</v>
      </c>
      <c r="O143" s="90">
        <f t="shared" si="20"/>
        <v>1860</v>
      </c>
      <c r="P143" s="90">
        <f t="shared" si="15"/>
        <v>2304.4</v>
      </c>
    </row>
    <row r="144" spans="1:16" x14ac:dyDescent="0.3">
      <c r="A144" s="2" t="s">
        <v>20</v>
      </c>
      <c r="B144" s="2" t="s">
        <v>61</v>
      </c>
      <c r="C144" s="2" t="s">
        <v>60</v>
      </c>
      <c r="D144" s="1">
        <v>1120</v>
      </c>
      <c r="E144" s="1">
        <v>2390</v>
      </c>
      <c r="F144" s="2">
        <v>62500</v>
      </c>
      <c r="H144" s="11" t="str">
        <f t="shared" si="11"/>
        <v>Hoekwoning 1975 tot en met 1991 75 m2 tot 100 m2</v>
      </c>
      <c r="I144" s="29">
        <f t="shared" si="12"/>
        <v>1120</v>
      </c>
      <c r="J144" s="29">
        <f t="shared" si="13"/>
        <v>2390</v>
      </c>
      <c r="K144" s="29">
        <f t="shared" si="14"/>
        <v>62500</v>
      </c>
      <c r="L144" s="90">
        <f t="shared" si="18"/>
        <v>1064</v>
      </c>
      <c r="M144" s="2">
        <v>0</v>
      </c>
      <c r="N144" s="2">
        <f t="shared" si="19"/>
        <v>56</v>
      </c>
      <c r="O144" s="90">
        <f t="shared" si="20"/>
        <v>2390</v>
      </c>
      <c r="P144" s="90">
        <f t="shared" si="15"/>
        <v>2882.8</v>
      </c>
    </row>
    <row r="145" spans="1:16" x14ac:dyDescent="0.3">
      <c r="A145" s="2" t="s">
        <v>20</v>
      </c>
      <c r="B145" s="2" t="s">
        <v>63</v>
      </c>
      <c r="C145" s="2" t="s">
        <v>22</v>
      </c>
      <c r="D145" s="1">
        <v>1210</v>
      </c>
      <c r="E145" s="1">
        <v>3260</v>
      </c>
      <c r="F145" s="2">
        <v>37500</v>
      </c>
      <c r="H145" s="11" t="str">
        <f t="shared" si="11"/>
        <v>Hoekwoning 1992 tot en met 1999 100 m2 tot 150 m2</v>
      </c>
      <c r="I145" s="29">
        <f t="shared" si="12"/>
        <v>1210</v>
      </c>
      <c r="J145" s="29">
        <f t="shared" si="13"/>
        <v>3260</v>
      </c>
      <c r="K145" s="29">
        <f t="shared" si="14"/>
        <v>37500</v>
      </c>
      <c r="L145" s="90">
        <f t="shared" si="18"/>
        <v>1149.5</v>
      </c>
      <c r="M145" s="2">
        <v>0</v>
      </c>
      <c r="N145" s="2">
        <f t="shared" si="19"/>
        <v>60.5</v>
      </c>
      <c r="O145" s="90">
        <f t="shared" si="20"/>
        <v>3260</v>
      </c>
      <c r="P145" s="90">
        <f t="shared" si="15"/>
        <v>3792.4</v>
      </c>
    </row>
    <row r="146" spans="1:16" x14ac:dyDescent="0.3">
      <c r="A146" s="2" t="s">
        <v>20</v>
      </c>
      <c r="B146" s="2" t="s">
        <v>63</v>
      </c>
      <c r="C146" s="2" t="s">
        <v>64</v>
      </c>
      <c r="D146" s="1">
        <v>1510</v>
      </c>
      <c r="E146" s="1">
        <v>3820</v>
      </c>
      <c r="F146" s="2">
        <v>17500</v>
      </c>
      <c r="H146" s="11" t="str">
        <f t="shared" si="11"/>
        <v>Hoekwoning 1992 tot en met 1999 150 m2 tot 250 m2</v>
      </c>
      <c r="I146" s="29">
        <f t="shared" si="12"/>
        <v>1510</v>
      </c>
      <c r="J146" s="29">
        <f t="shared" si="13"/>
        <v>3820</v>
      </c>
      <c r="K146" s="29">
        <f t="shared" si="14"/>
        <v>17500</v>
      </c>
      <c r="L146" s="90">
        <f t="shared" si="18"/>
        <v>1434.5</v>
      </c>
      <c r="M146" s="2">
        <v>0</v>
      </c>
      <c r="N146" s="2">
        <f t="shared" si="19"/>
        <v>75.5</v>
      </c>
      <c r="O146" s="90">
        <f t="shared" si="20"/>
        <v>3820</v>
      </c>
      <c r="P146" s="90">
        <f t="shared" si="15"/>
        <v>4484.3999999999996</v>
      </c>
    </row>
    <row r="147" spans="1:16" x14ac:dyDescent="0.3">
      <c r="A147" s="2" t="s">
        <v>20</v>
      </c>
      <c r="B147" s="2" t="s">
        <v>63</v>
      </c>
      <c r="C147" s="2" t="s">
        <v>58</v>
      </c>
      <c r="D147" s="1">
        <v>1130</v>
      </c>
      <c r="E147" s="1">
        <v>2790</v>
      </c>
      <c r="F147" s="2">
        <v>275</v>
      </c>
      <c r="H147" s="11" t="str">
        <f t="shared" si="11"/>
        <v>Hoekwoning 1992 tot en met 1999 2 m2 tot 50 m2</v>
      </c>
      <c r="I147" s="29">
        <f t="shared" si="12"/>
        <v>1130</v>
      </c>
      <c r="J147" s="29">
        <f t="shared" si="13"/>
        <v>2790</v>
      </c>
      <c r="K147" s="29">
        <f t="shared" si="14"/>
        <v>275</v>
      </c>
      <c r="L147" s="90">
        <f t="shared" si="18"/>
        <v>1073.5</v>
      </c>
      <c r="M147" s="2">
        <v>0</v>
      </c>
      <c r="N147" s="2">
        <f t="shared" si="19"/>
        <v>56.5</v>
      </c>
      <c r="O147" s="90">
        <f t="shared" si="20"/>
        <v>2790</v>
      </c>
      <c r="P147" s="90">
        <f t="shared" si="15"/>
        <v>3287.2</v>
      </c>
    </row>
    <row r="148" spans="1:16" x14ac:dyDescent="0.3">
      <c r="A148" s="2" t="s">
        <v>20</v>
      </c>
      <c r="B148" s="2" t="s">
        <v>63</v>
      </c>
      <c r="C148" s="2" t="s">
        <v>66</v>
      </c>
      <c r="D148" s="1">
        <v>1760</v>
      </c>
      <c r="E148" s="1">
        <v>4030</v>
      </c>
      <c r="F148" s="2">
        <v>275</v>
      </c>
      <c r="H148" s="11" t="str">
        <f t="shared" si="11"/>
        <v>Hoekwoning 1992 tot en met 1999 250 m2 tot 10.000m2</v>
      </c>
      <c r="I148" s="29">
        <f t="shared" si="12"/>
        <v>1760</v>
      </c>
      <c r="J148" s="29">
        <f t="shared" si="13"/>
        <v>4030</v>
      </c>
      <c r="K148" s="29">
        <f t="shared" si="14"/>
        <v>275</v>
      </c>
      <c r="L148" s="90">
        <f t="shared" si="18"/>
        <v>1672</v>
      </c>
      <c r="M148" s="2">
        <v>0</v>
      </c>
      <c r="N148" s="2">
        <f t="shared" si="19"/>
        <v>88</v>
      </c>
      <c r="O148" s="90">
        <f t="shared" si="20"/>
        <v>4030</v>
      </c>
      <c r="P148" s="90">
        <f t="shared" si="15"/>
        <v>4804.3999999999996</v>
      </c>
    </row>
    <row r="149" spans="1:16" x14ac:dyDescent="0.3">
      <c r="A149" s="2" t="s">
        <v>20</v>
      </c>
      <c r="B149" s="2" t="s">
        <v>63</v>
      </c>
      <c r="C149" s="2" t="s">
        <v>18</v>
      </c>
      <c r="D149" s="1">
        <v>910</v>
      </c>
      <c r="E149" s="1">
        <v>1940</v>
      </c>
      <c r="F149" s="2">
        <v>750</v>
      </c>
      <c r="H149" s="11" t="str">
        <f t="shared" si="11"/>
        <v>Hoekwoning 1992 tot en met 1999 50 m2 tot 75 m2</v>
      </c>
      <c r="I149" s="29">
        <f t="shared" si="12"/>
        <v>910</v>
      </c>
      <c r="J149" s="29">
        <f t="shared" si="13"/>
        <v>1940</v>
      </c>
      <c r="K149" s="29">
        <f t="shared" si="14"/>
        <v>750</v>
      </c>
      <c r="L149" s="90">
        <f t="shared" si="18"/>
        <v>864.5</v>
      </c>
      <c r="M149" s="2">
        <v>0</v>
      </c>
      <c r="N149" s="2">
        <f t="shared" si="19"/>
        <v>45.5</v>
      </c>
      <c r="O149" s="90">
        <f t="shared" si="20"/>
        <v>1940</v>
      </c>
      <c r="P149" s="90">
        <f t="shared" si="15"/>
        <v>2340.4</v>
      </c>
    </row>
    <row r="150" spans="1:16" x14ac:dyDescent="0.3">
      <c r="A150" s="2" t="s">
        <v>20</v>
      </c>
      <c r="B150" s="2" t="s">
        <v>63</v>
      </c>
      <c r="C150" s="2" t="s">
        <v>60</v>
      </c>
      <c r="D150" s="1">
        <v>990</v>
      </c>
      <c r="E150" s="1">
        <v>2460</v>
      </c>
      <c r="F150" s="2">
        <v>17500</v>
      </c>
      <c r="H150" s="11" t="str">
        <f t="shared" si="11"/>
        <v>Hoekwoning 1992 tot en met 1999 75 m2 tot 100 m2</v>
      </c>
      <c r="I150" s="29">
        <f t="shared" si="12"/>
        <v>990</v>
      </c>
      <c r="J150" s="29">
        <f t="shared" si="13"/>
        <v>2460</v>
      </c>
      <c r="K150" s="29">
        <f t="shared" si="14"/>
        <v>17500</v>
      </c>
      <c r="L150" s="90">
        <f t="shared" si="18"/>
        <v>940.5</v>
      </c>
      <c r="M150" s="2">
        <v>0</v>
      </c>
      <c r="N150" s="2">
        <f t="shared" si="19"/>
        <v>49.5</v>
      </c>
      <c r="O150" s="90">
        <f t="shared" si="20"/>
        <v>2460</v>
      </c>
      <c r="P150" s="90">
        <f t="shared" si="15"/>
        <v>2895.6</v>
      </c>
    </row>
    <row r="151" spans="1:16" x14ac:dyDescent="0.3">
      <c r="A151" s="2" t="s">
        <v>20</v>
      </c>
      <c r="B151" s="2" t="s">
        <v>65</v>
      </c>
      <c r="C151" s="2" t="s">
        <v>22</v>
      </c>
      <c r="D151" s="1">
        <v>1100</v>
      </c>
      <c r="E151" s="1">
        <v>3290</v>
      </c>
      <c r="F151" s="2">
        <v>17500</v>
      </c>
      <c r="H151" s="11" t="str">
        <f t="shared" si="11"/>
        <v>Hoekwoning 2000 tot en met 2005 100 m2 tot 150 m2</v>
      </c>
      <c r="I151" s="29">
        <f t="shared" si="12"/>
        <v>1100</v>
      </c>
      <c r="J151" s="29">
        <f t="shared" si="13"/>
        <v>3290</v>
      </c>
      <c r="K151" s="29">
        <f t="shared" si="14"/>
        <v>17500</v>
      </c>
      <c r="L151" s="90">
        <f t="shared" si="18"/>
        <v>1045</v>
      </c>
      <c r="M151" s="2">
        <v>0</v>
      </c>
      <c r="N151" s="2">
        <f t="shared" si="19"/>
        <v>55</v>
      </c>
      <c r="O151" s="90">
        <f t="shared" si="20"/>
        <v>3290</v>
      </c>
      <c r="P151" s="90">
        <f t="shared" si="15"/>
        <v>3774</v>
      </c>
    </row>
    <row r="152" spans="1:16" x14ac:dyDescent="0.3">
      <c r="A152" s="2" t="s">
        <v>20</v>
      </c>
      <c r="B152" s="2" t="s">
        <v>65</v>
      </c>
      <c r="C152" s="2" t="s">
        <v>64</v>
      </c>
      <c r="D152" s="1">
        <v>1380</v>
      </c>
      <c r="E152" s="1">
        <v>3940</v>
      </c>
      <c r="F152" s="2">
        <v>17500</v>
      </c>
      <c r="H152" s="11" t="str">
        <f t="shared" si="11"/>
        <v>Hoekwoning 2000 tot en met 2005 150 m2 tot 250 m2</v>
      </c>
      <c r="I152" s="29">
        <f t="shared" si="12"/>
        <v>1380</v>
      </c>
      <c r="J152" s="29">
        <f t="shared" si="13"/>
        <v>3940</v>
      </c>
      <c r="K152" s="29">
        <f t="shared" si="14"/>
        <v>17500</v>
      </c>
      <c r="L152" s="90">
        <f t="shared" si="18"/>
        <v>1311</v>
      </c>
      <c r="M152" s="2">
        <v>0</v>
      </c>
      <c r="N152" s="2">
        <f t="shared" si="19"/>
        <v>69</v>
      </c>
      <c r="O152" s="90">
        <f t="shared" si="20"/>
        <v>3940</v>
      </c>
      <c r="P152" s="90">
        <f t="shared" si="15"/>
        <v>4547.2</v>
      </c>
    </row>
    <row r="153" spans="1:16" x14ac:dyDescent="0.3">
      <c r="A153" s="2" t="s">
        <v>20</v>
      </c>
      <c r="B153" s="2" t="s">
        <v>65</v>
      </c>
      <c r="C153" s="2" t="s">
        <v>58</v>
      </c>
      <c r="D153" s="1">
        <v>1120</v>
      </c>
      <c r="E153" s="1">
        <v>2700</v>
      </c>
      <c r="F153" s="2">
        <v>275</v>
      </c>
      <c r="H153" s="11" t="str">
        <f t="shared" ref="H153:H216" si="21">_xlfn.CONCAT(A153," ",B153," ",C153)</f>
        <v>Hoekwoning 2000 tot en met 2005 2 m2 tot 50 m2</v>
      </c>
      <c r="I153" s="29">
        <f t="shared" ref="I153:I216" si="22">D153</f>
        <v>1120</v>
      </c>
      <c r="J153" s="29">
        <f t="shared" ref="J153:J216" si="23">E153</f>
        <v>2700</v>
      </c>
      <c r="K153" s="29">
        <f t="shared" ref="K153:K216" si="24">F153</f>
        <v>275</v>
      </c>
      <c r="L153" s="90">
        <f t="shared" si="18"/>
        <v>1064</v>
      </c>
      <c r="M153" s="2">
        <v>0</v>
      </c>
      <c r="N153" s="2">
        <f t="shared" si="19"/>
        <v>56</v>
      </c>
      <c r="O153" s="90">
        <f t="shared" si="20"/>
        <v>2700</v>
      </c>
      <c r="P153" s="90">
        <f t="shared" ref="P153:P216" si="25">(N153*8.8)+O153</f>
        <v>3192.8</v>
      </c>
    </row>
    <row r="154" spans="1:16" x14ac:dyDescent="0.3">
      <c r="A154" s="2" t="s">
        <v>20</v>
      </c>
      <c r="B154" s="2" t="s">
        <v>65</v>
      </c>
      <c r="C154" s="2" t="s">
        <v>66</v>
      </c>
      <c r="D154" s="1">
        <v>1820</v>
      </c>
      <c r="E154" s="1">
        <v>4620</v>
      </c>
      <c r="F154" s="2">
        <v>275</v>
      </c>
      <c r="H154" s="11" t="str">
        <f t="shared" si="21"/>
        <v>Hoekwoning 2000 tot en met 2005 250 m2 tot 10.000m2</v>
      </c>
      <c r="I154" s="29">
        <f t="shared" si="22"/>
        <v>1820</v>
      </c>
      <c r="J154" s="29">
        <f t="shared" si="23"/>
        <v>4620</v>
      </c>
      <c r="K154" s="29">
        <f t="shared" si="24"/>
        <v>275</v>
      </c>
      <c r="L154" s="90">
        <f t="shared" si="18"/>
        <v>1729</v>
      </c>
      <c r="M154" s="2">
        <v>0</v>
      </c>
      <c r="N154" s="2">
        <f t="shared" si="19"/>
        <v>91</v>
      </c>
      <c r="O154" s="90">
        <f t="shared" si="20"/>
        <v>4620</v>
      </c>
      <c r="P154" s="90">
        <f t="shared" si="25"/>
        <v>5420.8</v>
      </c>
    </row>
    <row r="155" spans="1:16" x14ac:dyDescent="0.3">
      <c r="A155" s="2" t="s">
        <v>20</v>
      </c>
      <c r="B155" s="2" t="s">
        <v>65</v>
      </c>
      <c r="C155" s="2" t="s">
        <v>18</v>
      </c>
      <c r="D155" s="1">
        <v>970</v>
      </c>
      <c r="E155" s="1">
        <v>2420</v>
      </c>
      <c r="F155" s="2">
        <v>275</v>
      </c>
      <c r="H155" s="11" t="str">
        <f t="shared" si="21"/>
        <v>Hoekwoning 2000 tot en met 2005 50 m2 tot 75 m2</v>
      </c>
      <c r="I155" s="29">
        <f t="shared" si="22"/>
        <v>970</v>
      </c>
      <c r="J155" s="29">
        <f t="shared" si="23"/>
        <v>2420</v>
      </c>
      <c r="K155" s="29">
        <f t="shared" si="24"/>
        <v>275</v>
      </c>
      <c r="L155" s="90">
        <f t="shared" si="18"/>
        <v>921.5</v>
      </c>
      <c r="M155" s="2">
        <v>0</v>
      </c>
      <c r="N155" s="2">
        <f t="shared" si="19"/>
        <v>48.5</v>
      </c>
      <c r="O155" s="90">
        <f t="shared" si="20"/>
        <v>2420</v>
      </c>
      <c r="P155" s="90">
        <f t="shared" si="25"/>
        <v>2846.8</v>
      </c>
    </row>
    <row r="156" spans="1:16" x14ac:dyDescent="0.3">
      <c r="A156" s="2" t="s">
        <v>20</v>
      </c>
      <c r="B156" s="2" t="s">
        <v>65</v>
      </c>
      <c r="C156" s="2" t="s">
        <v>60</v>
      </c>
      <c r="D156" s="1">
        <v>920</v>
      </c>
      <c r="E156" s="1">
        <v>2640</v>
      </c>
      <c r="F156" s="2">
        <v>3750</v>
      </c>
      <c r="H156" s="11" t="str">
        <f t="shared" si="21"/>
        <v>Hoekwoning 2000 tot en met 2005 75 m2 tot 100 m2</v>
      </c>
      <c r="I156" s="29">
        <f t="shared" si="22"/>
        <v>920</v>
      </c>
      <c r="J156" s="29">
        <f t="shared" si="23"/>
        <v>2640</v>
      </c>
      <c r="K156" s="29">
        <f t="shared" si="24"/>
        <v>3750</v>
      </c>
      <c r="L156" s="90">
        <f t="shared" si="18"/>
        <v>874</v>
      </c>
      <c r="M156" s="2">
        <v>0</v>
      </c>
      <c r="N156" s="2">
        <f t="shared" si="19"/>
        <v>46</v>
      </c>
      <c r="O156" s="90">
        <f t="shared" si="20"/>
        <v>2640</v>
      </c>
      <c r="P156" s="90">
        <f t="shared" si="25"/>
        <v>3044.8</v>
      </c>
    </row>
    <row r="157" spans="1:16" x14ac:dyDescent="0.3">
      <c r="A157" s="2" t="s">
        <v>20</v>
      </c>
      <c r="B157" s="2" t="s">
        <v>67</v>
      </c>
      <c r="C157" s="2" t="s">
        <v>22</v>
      </c>
      <c r="D157" s="1">
        <v>1060</v>
      </c>
      <c r="E157" s="1">
        <v>3080</v>
      </c>
      <c r="F157" s="2">
        <v>17500</v>
      </c>
      <c r="H157" s="11" t="str">
        <f t="shared" si="21"/>
        <v>Hoekwoning 2006 tot en met 2012 100 m2 tot 150 m2</v>
      </c>
      <c r="I157" s="29">
        <f t="shared" si="22"/>
        <v>1060</v>
      </c>
      <c r="J157" s="29">
        <f t="shared" si="23"/>
        <v>3080</v>
      </c>
      <c r="K157" s="29">
        <f t="shared" si="24"/>
        <v>17500</v>
      </c>
      <c r="L157" s="90">
        <f t="shared" si="18"/>
        <v>1007</v>
      </c>
      <c r="M157" s="2">
        <v>0</v>
      </c>
      <c r="N157" s="2">
        <f t="shared" si="19"/>
        <v>53</v>
      </c>
      <c r="O157" s="90">
        <f t="shared" si="20"/>
        <v>3080</v>
      </c>
      <c r="P157" s="90">
        <f t="shared" si="25"/>
        <v>3546.4</v>
      </c>
    </row>
    <row r="158" spans="1:16" x14ac:dyDescent="0.3">
      <c r="A158" s="2" t="s">
        <v>20</v>
      </c>
      <c r="B158" s="2" t="s">
        <v>67</v>
      </c>
      <c r="C158" s="2" t="s">
        <v>64</v>
      </c>
      <c r="D158" s="1">
        <v>1320</v>
      </c>
      <c r="E158" s="1">
        <v>3810</v>
      </c>
      <c r="F158" s="2">
        <v>17500</v>
      </c>
      <c r="H158" s="11" t="str">
        <f t="shared" si="21"/>
        <v>Hoekwoning 2006 tot en met 2012 150 m2 tot 250 m2</v>
      </c>
      <c r="I158" s="29">
        <f t="shared" si="22"/>
        <v>1320</v>
      </c>
      <c r="J158" s="29">
        <f t="shared" si="23"/>
        <v>3810</v>
      </c>
      <c r="K158" s="29">
        <f t="shared" si="24"/>
        <v>17500</v>
      </c>
      <c r="L158" s="90">
        <f t="shared" si="18"/>
        <v>1254</v>
      </c>
      <c r="M158" s="2">
        <v>0</v>
      </c>
      <c r="N158" s="2">
        <f t="shared" si="19"/>
        <v>66</v>
      </c>
      <c r="O158" s="90">
        <f t="shared" si="20"/>
        <v>3810</v>
      </c>
      <c r="P158" s="90">
        <f t="shared" si="25"/>
        <v>4390.8</v>
      </c>
    </row>
    <row r="159" spans="1:16" x14ac:dyDescent="0.3">
      <c r="A159" s="2" t="s">
        <v>20</v>
      </c>
      <c r="B159" s="2" t="s">
        <v>67</v>
      </c>
      <c r="C159" s="2" t="s">
        <v>58</v>
      </c>
      <c r="D159" s="1">
        <v>1080</v>
      </c>
      <c r="E159" s="1">
        <v>3020</v>
      </c>
      <c r="F159" s="2">
        <v>275</v>
      </c>
      <c r="H159" s="11" t="str">
        <f t="shared" si="21"/>
        <v>Hoekwoning 2006 tot en met 2012 2 m2 tot 50 m2</v>
      </c>
      <c r="I159" s="29">
        <f t="shared" si="22"/>
        <v>1080</v>
      </c>
      <c r="J159" s="29">
        <f t="shared" si="23"/>
        <v>3020</v>
      </c>
      <c r="K159" s="29">
        <f t="shared" si="24"/>
        <v>275</v>
      </c>
      <c r="L159" s="90">
        <f t="shared" si="18"/>
        <v>1026</v>
      </c>
      <c r="M159" s="2">
        <v>0</v>
      </c>
      <c r="N159" s="2">
        <f t="shared" si="19"/>
        <v>54</v>
      </c>
      <c r="O159" s="90">
        <f t="shared" si="20"/>
        <v>3020</v>
      </c>
      <c r="P159" s="90">
        <f t="shared" si="25"/>
        <v>3495.2</v>
      </c>
    </row>
    <row r="160" spans="1:16" x14ac:dyDescent="0.3">
      <c r="A160" s="2" t="s">
        <v>20</v>
      </c>
      <c r="B160" s="2" t="s">
        <v>67</v>
      </c>
      <c r="C160" s="2" t="s">
        <v>66</v>
      </c>
      <c r="D160" s="1">
        <v>1660</v>
      </c>
      <c r="E160" s="1">
        <v>4480</v>
      </c>
      <c r="F160" s="2">
        <v>275</v>
      </c>
      <c r="H160" s="11" t="str">
        <f t="shared" si="21"/>
        <v>Hoekwoning 2006 tot en met 2012 250 m2 tot 10.000m2</v>
      </c>
      <c r="I160" s="29">
        <f t="shared" si="22"/>
        <v>1660</v>
      </c>
      <c r="J160" s="29">
        <f t="shared" si="23"/>
        <v>4480</v>
      </c>
      <c r="K160" s="29">
        <f t="shared" si="24"/>
        <v>275</v>
      </c>
      <c r="L160" s="90">
        <f t="shared" si="18"/>
        <v>1577</v>
      </c>
      <c r="M160" s="2">
        <v>0</v>
      </c>
      <c r="N160" s="2">
        <f t="shared" si="19"/>
        <v>83</v>
      </c>
      <c r="O160" s="90">
        <f t="shared" si="20"/>
        <v>4480</v>
      </c>
      <c r="P160" s="90">
        <f t="shared" si="25"/>
        <v>5210.3999999999996</v>
      </c>
    </row>
    <row r="161" spans="1:23" x14ac:dyDescent="0.3">
      <c r="A161" s="2" t="s">
        <v>20</v>
      </c>
      <c r="B161" s="2" t="s">
        <v>67</v>
      </c>
      <c r="C161" s="2" t="s">
        <v>18</v>
      </c>
      <c r="D161" s="1">
        <v>980</v>
      </c>
      <c r="E161" s="1">
        <v>2610</v>
      </c>
      <c r="F161" s="2">
        <v>275</v>
      </c>
      <c r="H161" s="11" t="str">
        <f t="shared" si="21"/>
        <v>Hoekwoning 2006 tot en met 2012 50 m2 tot 75 m2</v>
      </c>
      <c r="I161" s="29">
        <f t="shared" si="22"/>
        <v>980</v>
      </c>
      <c r="J161" s="29">
        <f t="shared" si="23"/>
        <v>2610</v>
      </c>
      <c r="K161" s="29">
        <f t="shared" si="24"/>
        <v>275</v>
      </c>
      <c r="L161" s="90">
        <f t="shared" si="18"/>
        <v>931</v>
      </c>
      <c r="M161" s="2">
        <v>0</v>
      </c>
      <c r="N161" s="2">
        <f t="shared" si="19"/>
        <v>49</v>
      </c>
      <c r="O161" s="90">
        <f t="shared" si="20"/>
        <v>2610</v>
      </c>
      <c r="P161" s="90">
        <f t="shared" si="25"/>
        <v>3041.2</v>
      </c>
    </row>
    <row r="162" spans="1:23" x14ac:dyDescent="0.3">
      <c r="A162" s="2" t="s">
        <v>20</v>
      </c>
      <c r="B162" s="2" t="s">
        <v>67</v>
      </c>
      <c r="C162" s="2" t="s">
        <v>60</v>
      </c>
      <c r="D162" s="1">
        <v>920</v>
      </c>
      <c r="E162" s="1">
        <v>2600</v>
      </c>
      <c r="F162" s="2">
        <v>3750</v>
      </c>
      <c r="H162" s="11" t="str">
        <f t="shared" si="21"/>
        <v>Hoekwoning 2006 tot en met 2012 75 m2 tot 100 m2</v>
      </c>
      <c r="I162" s="29">
        <f t="shared" si="22"/>
        <v>920</v>
      </c>
      <c r="J162" s="29">
        <f t="shared" si="23"/>
        <v>2600</v>
      </c>
      <c r="K162" s="29">
        <f t="shared" si="24"/>
        <v>3750</v>
      </c>
      <c r="L162" s="90">
        <f t="shared" si="18"/>
        <v>874</v>
      </c>
      <c r="M162" s="2">
        <v>0</v>
      </c>
      <c r="N162" s="2">
        <f t="shared" si="19"/>
        <v>46</v>
      </c>
      <c r="O162" s="90">
        <f t="shared" si="20"/>
        <v>2600</v>
      </c>
      <c r="P162" s="90">
        <f t="shared" si="25"/>
        <v>3004.8</v>
      </c>
    </row>
    <row r="163" spans="1:23" x14ac:dyDescent="0.3">
      <c r="A163" s="2" t="s">
        <v>20</v>
      </c>
      <c r="B163" s="2" t="s">
        <v>68</v>
      </c>
      <c r="C163" s="2" t="s">
        <v>22</v>
      </c>
      <c r="D163" s="1">
        <v>920</v>
      </c>
      <c r="E163" s="1">
        <v>2640</v>
      </c>
      <c r="F163" s="2">
        <v>17500</v>
      </c>
      <c r="H163" s="11" t="str">
        <f t="shared" si="21"/>
        <v>Hoekwoning vanaf 2013 100 m2 tot 150 m2</v>
      </c>
      <c r="I163" s="29">
        <f t="shared" si="22"/>
        <v>920</v>
      </c>
      <c r="J163" s="29">
        <f t="shared" si="23"/>
        <v>2640</v>
      </c>
      <c r="K163" s="29">
        <f t="shared" si="24"/>
        <v>17500</v>
      </c>
      <c r="L163" s="90">
        <f t="shared" ref="L163:L168" si="26">I163</f>
        <v>920</v>
      </c>
      <c r="M163" s="2">
        <v>250</v>
      </c>
      <c r="N163" s="2">
        <v>0</v>
      </c>
      <c r="O163" s="90">
        <f t="shared" ref="O163:O168" si="27">J163-250</f>
        <v>2390</v>
      </c>
      <c r="P163" s="90">
        <f t="shared" si="25"/>
        <v>2390</v>
      </c>
    </row>
    <row r="164" spans="1:23" x14ac:dyDescent="0.3">
      <c r="A164" s="2" t="s">
        <v>20</v>
      </c>
      <c r="B164" s="2" t="s">
        <v>68</v>
      </c>
      <c r="C164" s="2" t="s">
        <v>64</v>
      </c>
      <c r="D164" s="1">
        <v>1170</v>
      </c>
      <c r="E164" s="1">
        <v>3330</v>
      </c>
      <c r="F164" s="2">
        <v>7500</v>
      </c>
      <c r="H164" s="11" t="str">
        <f t="shared" si="21"/>
        <v>Hoekwoning vanaf 2013 150 m2 tot 250 m2</v>
      </c>
      <c r="I164" s="29">
        <f t="shared" si="22"/>
        <v>1170</v>
      </c>
      <c r="J164" s="29">
        <f t="shared" si="23"/>
        <v>3330</v>
      </c>
      <c r="K164" s="29">
        <f t="shared" si="24"/>
        <v>7500</v>
      </c>
      <c r="L164" s="90">
        <f t="shared" si="26"/>
        <v>1170</v>
      </c>
      <c r="M164" s="2">
        <v>250</v>
      </c>
      <c r="N164" s="2">
        <v>0</v>
      </c>
      <c r="O164" s="90">
        <f t="shared" si="27"/>
        <v>3080</v>
      </c>
      <c r="P164" s="90">
        <f t="shared" si="25"/>
        <v>3080</v>
      </c>
    </row>
    <row r="165" spans="1:23" x14ac:dyDescent="0.3">
      <c r="A165" s="2" t="s">
        <v>20</v>
      </c>
      <c r="B165" s="2" t="s">
        <v>68</v>
      </c>
      <c r="C165" s="2" t="s">
        <v>58</v>
      </c>
      <c r="D165" s="1">
        <v>800</v>
      </c>
      <c r="E165" s="1">
        <v>1870</v>
      </c>
      <c r="F165" s="2">
        <v>275</v>
      </c>
      <c r="H165" s="11" t="str">
        <f t="shared" si="21"/>
        <v>Hoekwoning vanaf 2013 2 m2 tot 50 m2</v>
      </c>
      <c r="I165" s="29">
        <f t="shared" si="22"/>
        <v>800</v>
      </c>
      <c r="J165" s="29">
        <f t="shared" si="23"/>
        <v>1870</v>
      </c>
      <c r="K165" s="29">
        <f t="shared" si="24"/>
        <v>275</v>
      </c>
      <c r="L165" s="90">
        <f t="shared" si="26"/>
        <v>800</v>
      </c>
      <c r="M165" s="2">
        <v>250</v>
      </c>
      <c r="N165" s="2">
        <v>0</v>
      </c>
      <c r="O165" s="90">
        <f t="shared" si="27"/>
        <v>1620</v>
      </c>
      <c r="P165" s="90">
        <f t="shared" si="25"/>
        <v>1620</v>
      </c>
    </row>
    <row r="166" spans="1:23" x14ac:dyDescent="0.3">
      <c r="A166" s="2" t="s">
        <v>20</v>
      </c>
      <c r="B166" s="2" t="s">
        <v>68</v>
      </c>
      <c r="C166" s="2" t="s">
        <v>66</v>
      </c>
      <c r="D166" s="1">
        <v>1390</v>
      </c>
      <c r="E166" s="1">
        <v>4060</v>
      </c>
      <c r="F166" s="2">
        <v>275</v>
      </c>
      <c r="H166" s="11" t="str">
        <f t="shared" si="21"/>
        <v>Hoekwoning vanaf 2013 250 m2 tot 10.000m2</v>
      </c>
      <c r="I166" s="29">
        <f t="shared" si="22"/>
        <v>1390</v>
      </c>
      <c r="J166" s="29">
        <f t="shared" si="23"/>
        <v>4060</v>
      </c>
      <c r="K166" s="29">
        <f t="shared" si="24"/>
        <v>275</v>
      </c>
      <c r="L166" s="90">
        <f t="shared" si="26"/>
        <v>1390</v>
      </c>
      <c r="M166" s="2">
        <v>250</v>
      </c>
      <c r="N166" s="2">
        <v>0</v>
      </c>
      <c r="O166" s="90">
        <f t="shared" si="27"/>
        <v>3810</v>
      </c>
      <c r="P166" s="90">
        <f t="shared" si="25"/>
        <v>3810</v>
      </c>
    </row>
    <row r="167" spans="1:23" x14ac:dyDescent="0.3">
      <c r="A167" s="2" t="s">
        <v>20</v>
      </c>
      <c r="B167" s="2" t="s">
        <v>68</v>
      </c>
      <c r="C167" s="2" t="s">
        <v>18</v>
      </c>
      <c r="D167" s="1">
        <v>730</v>
      </c>
      <c r="E167" s="1">
        <v>1970</v>
      </c>
      <c r="F167" s="2">
        <v>275</v>
      </c>
      <c r="H167" s="11" t="str">
        <f t="shared" si="21"/>
        <v>Hoekwoning vanaf 2013 50 m2 tot 75 m2</v>
      </c>
      <c r="I167" s="29">
        <f t="shared" si="22"/>
        <v>730</v>
      </c>
      <c r="J167" s="29">
        <f t="shared" si="23"/>
        <v>1970</v>
      </c>
      <c r="K167" s="29">
        <f t="shared" si="24"/>
        <v>275</v>
      </c>
      <c r="L167" s="90">
        <f t="shared" si="26"/>
        <v>730</v>
      </c>
      <c r="M167" s="2">
        <v>250</v>
      </c>
      <c r="N167" s="2">
        <v>0</v>
      </c>
      <c r="O167" s="90">
        <f t="shared" si="27"/>
        <v>1720</v>
      </c>
      <c r="P167" s="90">
        <f t="shared" si="25"/>
        <v>1720</v>
      </c>
    </row>
    <row r="168" spans="1:23" x14ac:dyDescent="0.3">
      <c r="A168" s="2" t="s">
        <v>20</v>
      </c>
      <c r="B168" s="2" t="s">
        <v>68</v>
      </c>
      <c r="C168" s="2" t="s">
        <v>60</v>
      </c>
      <c r="D168" s="1">
        <v>780</v>
      </c>
      <c r="E168" s="1">
        <v>2240</v>
      </c>
      <c r="F168" s="2">
        <v>3750</v>
      </c>
      <c r="H168" s="11" t="str">
        <f t="shared" si="21"/>
        <v>Hoekwoning vanaf 2013 75 m2 tot 100 m2</v>
      </c>
      <c r="I168" s="29">
        <f t="shared" si="22"/>
        <v>780</v>
      </c>
      <c r="J168" s="29">
        <f t="shared" si="23"/>
        <v>2240</v>
      </c>
      <c r="K168" s="29">
        <f t="shared" si="24"/>
        <v>3750</v>
      </c>
      <c r="L168" s="90">
        <f t="shared" si="26"/>
        <v>780</v>
      </c>
      <c r="M168" s="2">
        <v>250</v>
      </c>
      <c r="N168" s="2">
        <v>0</v>
      </c>
      <c r="O168" s="90">
        <f t="shared" si="27"/>
        <v>1990</v>
      </c>
      <c r="P168" s="90">
        <f t="shared" si="25"/>
        <v>1990</v>
      </c>
    </row>
    <row r="169" spans="1:23" x14ac:dyDescent="0.3">
      <c r="A169" s="2" t="s">
        <v>16</v>
      </c>
      <c r="B169" s="2" t="s">
        <v>57</v>
      </c>
      <c r="C169" s="2" t="s">
        <v>22</v>
      </c>
      <c r="D169" s="1">
        <v>1410</v>
      </c>
      <c r="E169" s="1">
        <v>2870</v>
      </c>
      <c r="F169" s="2">
        <v>175000</v>
      </c>
      <c r="H169" s="11" t="str">
        <f t="shared" si="21"/>
        <v>Tussen of geschakelde woning 1200 tot en met 1945 100 m2 tot 150 m2</v>
      </c>
      <c r="I169" s="29">
        <f t="shared" si="22"/>
        <v>1410</v>
      </c>
      <c r="J169" s="29">
        <f t="shared" si="23"/>
        <v>2870</v>
      </c>
      <c r="K169" s="29">
        <f t="shared" si="24"/>
        <v>175000</v>
      </c>
      <c r="L169" s="90">
        <f t="shared" ref="L169:L210" si="28">I169-N169</f>
        <v>1339.5</v>
      </c>
      <c r="M169" s="2">
        <v>0</v>
      </c>
      <c r="N169" s="2">
        <f t="shared" ref="N169:N210" si="29">I169*0.05</f>
        <v>70.5</v>
      </c>
      <c r="O169" s="90">
        <f t="shared" ref="O169:O210" si="30">J169</f>
        <v>2870</v>
      </c>
      <c r="P169" s="90">
        <f t="shared" si="25"/>
        <v>3490.4</v>
      </c>
    </row>
    <row r="170" spans="1:23" x14ac:dyDescent="0.3">
      <c r="A170" s="2" t="s">
        <v>16</v>
      </c>
      <c r="B170" s="2" t="s">
        <v>57</v>
      </c>
      <c r="C170" s="2" t="s">
        <v>64</v>
      </c>
      <c r="D170" s="1">
        <v>1870</v>
      </c>
      <c r="E170" s="1">
        <v>3550</v>
      </c>
      <c r="F170" s="2">
        <v>37500</v>
      </c>
      <c r="H170" s="11" t="str">
        <f t="shared" si="21"/>
        <v>Tussen of geschakelde woning 1200 tot en met 1945 150 m2 tot 250 m2</v>
      </c>
      <c r="I170" s="29">
        <f t="shared" si="22"/>
        <v>1870</v>
      </c>
      <c r="J170" s="29">
        <f t="shared" si="23"/>
        <v>3550</v>
      </c>
      <c r="K170" s="29">
        <f t="shared" si="24"/>
        <v>37500</v>
      </c>
      <c r="L170" s="90">
        <f t="shared" si="28"/>
        <v>1776.5</v>
      </c>
      <c r="M170" s="2">
        <v>0</v>
      </c>
      <c r="N170" s="2">
        <f t="shared" si="29"/>
        <v>93.5</v>
      </c>
      <c r="O170" s="90">
        <f t="shared" si="30"/>
        <v>3550</v>
      </c>
      <c r="P170" s="90">
        <f t="shared" si="25"/>
        <v>4372.8</v>
      </c>
    </row>
    <row r="171" spans="1:23" x14ac:dyDescent="0.3">
      <c r="A171" s="2" t="s">
        <v>16</v>
      </c>
      <c r="B171" s="2" t="s">
        <v>57</v>
      </c>
      <c r="C171" s="2" t="s">
        <v>58</v>
      </c>
      <c r="D171" s="1">
        <v>870</v>
      </c>
      <c r="E171" s="1">
        <v>1710</v>
      </c>
      <c r="F171" s="2">
        <v>3750</v>
      </c>
      <c r="H171" s="11" t="str">
        <f t="shared" si="21"/>
        <v>Tussen of geschakelde woning 1200 tot en met 1945 2 m2 tot 50 m2</v>
      </c>
      <c r="I171" s="29">
        <f t="shared" si="22"/>
        <v>870</v>
      </c>
      <c r="J171" s="29">
        <f t="shared" si="23"/>
        <v>1710</v>
      </c>
      <c r="K171" s="29">
        <f t="shared" si="24"/>
        <v>3750</v>
      </c>
      <c r="L171" s="90">
        <f t="shared" si="28"/>
        <v>826.5</v>
      </c>
      <c r="M171" s="2">
        <v>0</v>
      </c>
      <c r="N171" s="2">
        <f t="shared" si="29"/>
        <v>43.5</v>
      </c>
      <c r="O171" s="90">
        <f t="shared" si="30"/>
        <v>1710</v>
      </c>
      <c r="P171" s="90">
        <f t="shared" si="25"/>
        <v>2092.8000000000002</v>
      </c>
    </row>
    <row r="172" spans="1:23" x14ac:dyDescent="0.3">
      <c r="A172" s="2" t="s">
        <v>16</v>
      </c>
      <c r="B172" s="2" t="s">
        <v>57</v>
      </c>
      <c r="C172" s="2" t="s">
        <v>66</v>
      </c>
      <c r="D172" s="1">
        <v>2320</v>
      </c>
      <c r="E172" s="1">
        <v>4300</v>
      </c>
      <c r="F172" s="2">
        <v>17500</v>
      </c>
      <c r="H172" s="11" t="str">
        <f t="shared" si="21"/>
        <v>Tussen of geschakelde woning 1200 tot en met 1945 250 m2 tot 10.000m2</v>
      </c>
      <c r="I172" s="29">
        <f t="shared" si="22"/>
        <v>2320</v>
      </c>
      <c r="J172" s="29">
        <f t="shared" si="23"/>
        <v>4300</v>
      </c>
      <c r="K172" s="29">
        <f t="shared" si="24"/>
        <v>17500</v>
      </c>
      <c r="L172" s="90">
        <f t="shared" si="28"/>
        <v>2204</v>
      </c>
      <c r="M172" s="2">
        <v>0</v>
      </c>
      <c r="N172" s="2">
        <f t="shared" si="29"/>
        <v>116</v>
      </c>
      <c r="O172" s="90">
        <f t="shared" si="30"/>
        <v>4300</v>
      </c>
      <c r="P172" s="90">
        <f t="shared" si="25"/>
        <v>5320.8</v>
      </c>
    </row>
    <row r="173" spans="1:23" x14ac:dyDescent="0.3">
      <c r="A173" s="2" t="s">
        <v>16</v>
      </c>
      <c r="B173" s="2" t="s">
        <v>57</v>
      </c>
      <c r="C173" s="2" t="s">
        <v>18</v>
      </c>
      <c r="D173" s="1">
        <v>1020</v>
      </c>
      <c r="E173" s="1">
        <v>2060</v>
      </c>
      <c r="F173" s="2">
        <v>37500</v>
      </c>
      <c r="H173" s="11" t="str">
        <f t="shared" si="21"/>
        <v>Tussen of geschakelde woning 1200 tot en met 1945 50 m2 tot 75 m2</v>
      </c>
      <c r="I173" s="29">
        <f t="shared" si="22"/>
        <v>1020</v>
      </c>
      <c r="J173" s="29">
        <f t="shared" si="23"/>
        <v>2060</v>
      </c>
      <c r="K173" s="29">
        <f t="shared" si="24"/>
        <v>37500</v>
      </c>
      <c r="L173" s="90">
        <f t="shared" si="28"/>
        <v>969</v>
      </c>
      <c r="M173" s="2">
        <v>0</v>
      </c>
      <c r="N173" s="2">
        <f t="shared" si="29"/>
        <v>51</v>
      </c>
      <c r="O173" s="90">
        <f t="shared" si="30"/>
        <v>2060</v>
      </c>
      <c r="P173" s="90">
        <f t="shared" si="25"/>
        <v>2508.8000000000002</v>
      </c>
    </row>
    <row r="174" spans="1:23" x14ac:dyDescent="0.3">
      <c r="A174" s="2" t="s">
        <v>16</v>
      </c>
      <c r="B174" s="2" t="s">
        <v>57</v>
      </c>
      <c r="C174" s="2" t="s">
        <v>60</v>
      </c>
      <c r="D174" s="1">
        <v>1160</v>
      </c>
      <c r="E174" s="1">
        <v>2390</v>
      </c>
      <c r="F174" s="2">
        <v>87500</v>
      </c>
      <c r="H174" s="11" t="str">
        <f t="shared" si="21"/>
        <v>Tussen of geschakelde woning 1200 tot en met 1945 75 m2 tot 100 m2</v>
      </c>
      <c r="I174" s="29">
        <f t="shared" si="22"/>
        <v>1160</v>
      </c>
      <c r="J174" s="29">
        <f t="shared" si="23"/>
        <v>2390</v>
      </c>
      <c r="K174" s="29">
        <f t="shared" si="24"/>
        <v>87500</v>
      </c>
      <c r="L174" s="90">
        <f t="shared" si="28"/>
        <v>1102</v>
      </c>
      <c r="M174" s="2">
        <v>0</v>
      </c>
      <c r="N174" s="2">
        <f t="shared" si="29"/>
        <v>58</v>
      </c>
      <c r="O174" s="90">
        <f t="shared" si="30"/>
        <v>2390</v>
      </c>
      <c r="P174" s="90">
        <f t="shared" si="25"/>
        <v>2900.4</v>
      </c>
    </row>
    <row r="175" spans="1:23" x14ac:dyDescent="0.3">
      <c r="A175" s="2" t="s">
        <v>16</v>
      </c>
      <c r="B175" s="2" t="s">
        <v>21</v>
      </c>
      <c r="C175" s="2" t="s">
        <v>22</v>
      </c>
      <c r="D175" s="1">
        <v>1310</v>
      </c>
      <c r="E175" s="1">
        <v>2810</v>
      </c>
      <c r="F175" s="2">
        <v>175000</v>
      </c>
      <c r="H175" s="11" t="str">
        <f t="shared" si="21"/>
        <v>Tussen of geschakelde woning 1946 tot en met 1964 100 m2 tot 150 m2</v>
      </c>
      <c r="I175" s="29">
        <f t="shared" si="22"/>
        <v>1310</v>
      </c>
      <c r="J175" s="29">
        <f t="shared" si="23"/>
        <v>2810</v>
      </c>
      <c r="K175" s="29">
        <f t="shared" si="24"/>
        <v>175000</v>
      </c>
      <c r="L175" s="90">
        <f t="shared" si="28"/>
        <v>1244.5</v>
      </c>
      <c r="M175" s="2">
        <v>0</v>
      </c>
      <c r="N175" s="2">
        <f t="shared" si="29"/>
        <v>65.5</v>
      </c>
      <c r="O175" s="90">
        <f t="shared" si="30"/>
        <v>2810</v>
      </c>
      <c r="P175" s="90">
        <f t="shared" si="25"/>
        <v>3386.4</v>
      </c>
      <c r="V175" s="1"/>
      <c r="W175" s="1"/>
    </row>
    <row r="176" spans="1:23" x14ac:dyDescent="0.3">
      <c r="A176" s="2" t="s">
        <v>16</v>
      </c>
      <c r="B176" s="2" t="s">
        <v>21</v>
      </c>
      <c r="C176" s="2" t="s">
        <v>64</v>
      </c>
      <c r="D176" s="1">
        <v>1690</v>
      </c>
      <c r="E176" s="1">
        <v>3450</v>
      </c>
      <c r="F176" s="2">
        <v>17500</v>
      </c>
      <c r="H176" s="11" t="str">
        <f t="shared" si="21"/>
        <v>Tussen of geschakelde woning 1946 tot en met 1964 150 m2 tot 250 m2</v>
      </c>
      <c r="I176" s="29">
        <f t="shared" si="22"/>
        <v>1690</v>
      </c>
      <c r="J176" s="29">
        <f t="shared" si="23"/>
        <v>3450</v>
      </c>
      <c r="K176" s="29">
        <f t="shared" si="24"/>
        <v>17500</v>
      </c>
      <c r="L176" s="90">
        <f t="shared" si="28"/>
        <v>1605.5</v>
      </c>
      <c r="M176" s="2">
        <v>0</v>
      </c>
      <c r="N176" s="2">
        <f t="shared" si="29"/>
        <v>84.5</v>
      </c>
      <c r="O176" s="90">
        <f t="shared" si="30"/>
        <v>3450</v>
      </c>
      <c r="P176" s="90">
        <f t="shared" si="25"/>
        <v>4193.6000000000004</v>
      </c>
      <c r="V176" s="20"/>
      <c r="W176" s="20"/>
    </row>
    <row r="177" spans="1:23" x14ac:dyDescent="0.3">
      <c r="A177" s="2" t="s">
        <v>16</v>
      </c>
      <c r="B177" s="2" t="s">
        <v>21</v>
      </c>
      <c r="C177" s="2" t="s">
        <v>58</v>
      </c>
      <c r="D177" s="1">
        <v>940</v>
      </c>
      <c r="E177" s="1">
        <v>1750</v>
      </c>
      <c r="F177" s="2">
        <v>3750</v>
      </c>
      <c r="H177" s="11" t="str">
        <f t="shared" si="21"/>
        <v>Tussen of geschakelde woning 1946 tot en met 1964 2 m2 tot 50 m2</v>
      </c>
      <c r="I177" s="29">
        <f t="shared" si="22"/>
        <v>940</v>
      </c>
      <c r="J177" s="29">
        <f t="shared" si="23"/>
        <v>1750</v>
      </c>
      <c r="K177" s="29">
        <f t="shared" si="24"/>
        <v>3750</v>
      </c>
      <c r="L177" s="90">
        <f t="shared" si="28"/>
        <v>893</v>
      </c>
      <c r="M177" s="2">
        <v>0</v>
      </c>
      <c r="N177" s="2">
        <f t="shared" si="29"/>
        <v>47</v>
      </c>
      <c r="O177" s="90">
        <f t="shared" si="30"/>
        <v>1750</v>
      </c>
      <c r="P177" s="90">
        <f t="shared" si="25"/>
        <v>2163.6</v>
      </c>
    </row>
    <row r="178" spans="1:23" x14ac:dyDescent="0.3">
      <c r="A178" s="2" t="s">
        <v>16</v>
      </c>
      <c r="B178" s="2" t="s">
        <v>21</v>
      </c>
      <c r="C178" s="2" t="s">
        <v>66</v>
      </c>
      <c r="D178" s="1">
        <v>1950</v>
      </c>
      <c r="E178" s="1">
        <v>3750</v>
      </c>
      <c r="F178" s="2">
        <v>750</v>
      </c>
      <c r="H178" s="11" t="str">
        <f t="shared" si="21"/>
        <v>Tussen of geschakelde woning 1946 tot en met 1964 250 m2 tot 10.000m2</v>
      </c>
      <c r="I178" s="29">
        <f t="shared" si="22"/>
        <v>1950</v>
      </c>
      <c r="J178" s="29">
        <f t="shared" si="23"/>
        <v>3750</v>
      </c>
      <c r="K178" s="29">
        <f t="shared" si="24"/>
        <v>750</v>
      </c>
      <c r="L178" s="90">
        <f t="shared" si="28"/>
        <v>1852.5</v>
      </c>
      <c r="M178" s="2">
        <v>0</v>
      </c>
      <c r="N178" s="2">
        <f t="shared" si="29"/>
        <v>97.5</v>
      </c>
      <c r="O178" s="90">
        <f t="shared" si="30"/>
        <v>3750</v>
      </c>
      <c r="P178" s="90">
        <f t="shared" si="25"/>
        <v>4608</v>
      </c>
      <c r="V178" s="20"/>
      <c r="W178" s="20"/>
    </row>
    <row r="179" spans="1:23" x14ac:dyDescent="0.3">
      <c r="A179" s="2" t="s">
        <v>16</v>
      </c>
      <c r="B179" s="2" t="s">
        <v>21</v>
      </c>
      <c r="C179" s="2" t="s">
        <v>18</v>
      </c>
      <c r="D179" s="1">
        <v>1020</v>
      </c>
      <c r="E179" s="1">
        <v>2090</v>
      </c>
      <c r="F179" s="2">
        <v>17500</v>
      </c>
      <c r="H179" s="11" t="str">
        <f t="shared" si="21"/>
        <v>Tussen of geschakelde woning 1946 tot en met 1964 50 m2 tot 75 m2</v>
      </c>
      <c r="I179" s="29">
        <f t="shared" si="22"/>
        <v>1020</v>
      </c>
      <c r="J179" s="29">
        <f t="shared" si="23"/>
        <v>2090</v>
      </c>
      <c r="K179" s="29">
        <f t="shared" si="24"/>
        <v>17500</v>
      </c>
      <c r="L179" s="90">
        <f t="shared" si="28"/>
        <v>969</v>
      </c>
      <c r="M179" s="2">
        <v>0</v>
      </c>
      <c r="N179" s="2">
        <f t="shared" si="29"/>
        <v>51</v>
      </c>
      <c r="O179" s="90">
        <f t="shared" si="30"/>
        <v>2090</v>
      </c>
      <c r="P179" s="90">
        <f t="shared" si="25"/>
        <v>2538.8000000000002</v>
      </c>
    </row>
    <row r="180" spans="1:23" x14ac:dyDescent="0.3">
      <c r="A180" s="2" t="s">
        <v>16</v>
      </c>
      <c r="B180" s="2" t="s">
        <v>21</v>
      </c>
      <c r="C180" s="2" t="s">
        <v>60</v>
      </c>
      <c r="D180" s="1">
        <v>1130</v>
      </c>
      <c r="E180" s="1">
        <v>2360</v>
      </c>
      <c r="F180" s="2">
        <v>175000</v>
      </c>
      <c r="H180" s="11" t="str">
        <f t="shared" si="21"/>
        <v>Tussen of geschakelde woning 1946 tot en met 1964 75 m2 tot 100 m2</v>
      </c>
      <c r="I180" s="29">
        <f t="shared" si="22"/>
        <v>1130</v>
      </c>
      <c r="J180" s="29">
        <f t="shared" si="23"/>
        <v>2360</v>
      </c>
      <c r="K180" s="29">
        <f t="shared" si="24"/>
        <v>175000</v>
      </c>
      <c r="L180" s="90">
        <f t="shared" si="28"/>
        <v>1073.5</v>
      </c>
      <c r="M180" s="2">
        <v>0</v>
      </c>
      <c r="N180" s="2">
        <f t="shared" si="29"/>
        <v>56.5</v>
      </c>
      <c r="O180" s="90">
        <f t="shared" si="30"/>
        <v>2360</v>
      </c>
      <c r="P180" s="90">
        <f t="shared" si="25"/>
        <v>2857.2</v>
      </c>
    </row>
    <row r="181" spans="1:23" x14ac:dyDescent="0.3">
      <c r="A181" s="2" t="s">
        <v>16</v>
      </c>
      <c r="B181" s="2" t="s">
        <v>17</v>
      </c>
      <c r="C181" s="2" t="s">
        <v>22</v>
      </c>
      <c r="D181" s="1">
        <v>1260</v>
      </c>
      <c r="E181" s="1">
        <v>2790</v>
      </c>
      <c r="F181" s="2">
        <v>375000</v>
      </c>
      <c r="H181" s="11" t="str">
        <f t="shared" si="21"/>
        <v>Tussen of geschakelde woning 1965 tot en met 1974 100 m2 tot 150 m2</v>
      </c>
      <c r="I181" s="29">
        <f t="shared" si="22"/>
        <v>1260</v>
      </c>
      <c r="J181" s="29">
        <f t="shared" si="23"/>
        <v>2790</v>
      </c>
      <c r="K181" s="29">
        <f t="shared" si="24"/>
        <v>375000</v>
      </c>
      <c r="L181" s="90">
        <f t="shared" si="28"/>
        <v>1197</v>
      </c>
      <c r="M181" s="2">
        <v>0</v>
      </c>
      <c r="N181" s="2">
        <f t="shared" si="29"/>
        <v>63</v>
      </c>
      <c r="O181" s="90">
        <f t="shared" si="30"/>
        <v>2790</v>
      </c>
      <c r="P181" s="90">
        <f t="shared" si="25"/>
        <v>3344.4</v>
      </c>
    </row>
    <row r="182" spans="1:23" x14ac:dyDescent="0.3">
      <c r="A182" s="2" t="s">
        <v>16</v>
      </c>
      <c r="B182" s="2" t="s">
        <v>17</v>
      </c>
      <c r="C182" s="2" t="s">
        <v>64</v>
      </c>
      <c r="D182" s="1">
        <v>1680</v>
      </c>
      <c r="E182" s="1">
        <v>3350</v>
      </c>
      <c r="F182" s="2">
        <v>37500</v>
      </c>
      <c r="H182" s="11" t="str">
        <f t="shared" si="21"/>
        <v>Tussen of geschakelde woning 1965 tot en met 1974 150 m2 tot 250 m2</v>
      </c>
      <c r="I182" s="29">
        <f t="shared" si="22"/>
        <v>1680</v>
      </c>
      <c r="J182" s="29">
        <f t="shared" si="23"/>
        <v>3350</v>
      </c>
      <c r="K182" s="29">
        <f t="shared" si="24"/>
        <v>37500</v>
      </c>
      <c r="L182" s="90">
        <f t="shared" si="28"/>
        <v>1596</v>
      </c>
      <c r="M182" s="2">
        <v>0</v>
      </c>
      <c r="N182" s="2">
        <f t="shared" si="29"/>
        <v>84</v>
      </c>
      <c r="O182" s="90">
        <f t="shared" si="30"/>
        <v>3350</v>
      </c>
      <c r="P182" s="90">
        <f t="shared" si="25"/>
        <v>4089.2</v>
      </c>
    </row>
    <row r="183" spans="1:23" x14ac:dyDescent="0.3">
      <c r="A183" s="2" t="s">
        <v>16</v>
      </c>
      <c r="B183" s="2" t="s">
        <v>17</v>
      </c>
      <c r="C183" s="2" t="s">
        <v>58</v>
      </c>
      <c r="D183" s="1">
        <v>1090</v>
      </c>
      <c r="E183" s="1">
        <v>2250</v>
      </c>
      <c r="F183" s="2">
        <v>750</v>
      </c>
      <c r="H183" s="11" t="str">
        <f t="shared" si="21"/>
        <v>Tussen of geschakelde woning 1965 tot en met 1974 2 m2 tot 50 m2</v>
      </c>
      <c r="I183" s="29">
        <f t="shared" si="22"/>
        <v>1090</v>
      </c>
      <c r="J183" s="29">
        <f t="shared" si="23"/>
        <v>2250</v>
      </c>
      <c r="K183" s="29">
        <f t="shared" si="24"/>
        <v>750</v>
      </c>
      <c r="L183" s="90">
        <f t="shared" si="28"/>
        <v>1035.5</v>
      </c>
      <c r="M183" s="2">
        <v>0</v>
      </c>
      <c r="N183" s="2">
        <f t="shared" si="29"/>
        <v>54.5</v>
      </c>
      <c r="O183" s="90">
        <f t="shared" si="30"/>
        <v>2250</v>
      </c>
      <c r="P183" s="90">
        <f t="shared" si="25"/>
        <v>2729.6</v>
      </c>
    </row>
    <row r="184" spans="1:23" x14ac:dyDescent="0.3">
      <c r="A184" s="2" t="s">
        <v>16</v>
      </c>
      <c r="B184" s="2" t="s">
        <v>17</v>
      </c>
      <c r="C184" s="2" t="s">
        <v>66</v>
      </c>
      <c r="D184" s="1">
        <v>1710</v>
      </c>
      <c r="E184" s="1">
        <v>3500</v>
      </c>
      <c r="F184" s="2">
        <v>750</v>
      </c>
      <c r="H184" s="11" t="str">
        <f t="shared" si="21"/>
        <v>Tussen of geschakelde woning 1965 tot en met 1974 250 m2 tot 10.000m2</v>
      </c>
      <c r="I184" s="29">
        <f t="shared" si="22"/>
        <v>1710</v>
      </c>
      <c r="J184" s="29">
        <f t="shared" si="23"/>
        <v>3500</v>
      </c>
      <c r="K184" s="29">
        <f t="shared" si="24"/>
        <v>750</v>
      </c>
      <c r="L184" s="90">
        <f t="shared" si="28"/>
        <v>1624.5</v>
      </c>
      <c r="M184" s="2">
        <v>0</v>
      </c>
      <c r="N184" s="2">
        <f t="shared" si="29"/>
        <v>85.5</v>
      </c>
      <c r="O184" s="90">
        <f t="shared" si="30"/>
        <v>3500</v>
      </c>
      <c r="P184" s="90">
        <f t="shared" si="25"/>
        <v>4252.3999999999996</v>
      </c>
    </row>
    <row r="185" spans="1:23" x14ac:dyDescent="0.3">
      <c r="A185" s="2" t="s">
        <v>16</v>
      </c>
      <c r="B185" s="2" t="s">
        <v>17</v>
      </c>
      <c r="C185" s="2" t="s">
        <v>18</v>
      </c>
      <c r="D185" s="1">
        <v>980</v>
      </c>
      <c r="E185" s="1">
        <v>1760</v>
      </c>
      <c r="F185" s="2">
        <v>7500</v>
      </c>
      <c r="H185" s="11" t="str">
        <f t="shared" si="21"/>
        <v>Tussen of geschakelde woning 1965 tot en met 1974 50 m2 tot 75 m2</v>
      </c>
      <c r="I185" s="29">
        <f t="shared" si="22"/>
        <v>980</v>
      </c>
      <c r="J185" s="29">
        <f t="shared" si="23"/>
        <v>1760</v>
      </c>
      <c r="K185" s="29">
        <f t="shared" si="24"/>
        <v>7500</v>
      </c>
      <c r="L185" s="90">
        <f t="shared" si="28"/>
        <v>931</v>
      </c>
      <c r="M185" s="2">
        <v>0</v>
      </c>
      <c r="N185" s="2">
        <f t="shared" si="29"/>
        <v>49</v>
      </c>
      <c r="O185" s="90">
        <f t="shared" si="30"/>
        <v>1760</v>
      </c>
      <c r="P185" s="90">
        <f t="shared" si="25"/>
        <v>2191.1999999999998</v>
      </c>
    </row>
    <row r="186" spans="1:23" x14ac:dyDescent="0.3">
      <c r="A186" s="2" t="s">
        <v>16</v>
      </c>
      <c r="B186" s="2" t="s">
        <v>17</v>
      </c>
      <c r="C186" s="2" t="s">
        <v>60</v>
      </c>
      <c r="D186" s="1">
        <v>1110</v>
      </c>
      <c r="E186" s="1">
        <v>2330</v>
      </c>
      <c r="F186" s="2">
        <v>62500</v>
      </c>
      <c r="H186" s="11" t="str">
        <f t="shared" si="21"/>
        <v>Tussen of geschakelde woning 1965 tot en met 1974 75 m2 tot 100 m2</v>
      </c>
      <c r="I186" s="29">
        <f t="shared" si="22"/>
        <v>1110</v>
      </c>
      <c r="J186" s="29">
        <f t="shared" si="23"/>
        <v>2330</v>
      </c>
      <c r="K186" s="29">
        <f t="shared" si="24"/>
        <v>62500</v>
      </c>
      <c r="L186" s="90">
        <f t="shared" si="28"/>
        <v>1054.5</v>
      </c>
      <c r="M186" s="2">
        <v>0</v>
      </c>
      <c r="N186" s="2">
        <f t="shared" si="29"/>
        <v>55.5</v>
      </c>
      <c r="O186" s="90">
        <f t="shared" si="30"/>
        <v>2330</v>
      </c>
      <c r="P186" s="90">
        <f t="shared" si="25"/>
        <v>2818.4</v>
      </c>
    </row>
    <row r="187" spans="1:23" x14ac:dyDescent="0.3">
      <c r="A187" s="2" t="s">
        <v>16</v>
      </c>
      <c r="B187" s="2" t="s">
        <v>61</v>
      </c>
      <c r="C187" s="2" t="s">
        <v>22</v>
      </c>
      <c r="D187" s="1">
        <v>1150</v>
      </c>
      <c r="E187" s="1">
        <v>2930</v>
      </c>
      <c r="F187" s="2">
        <v>375000</v>
      </c>
      <c r="H187" s="11" t="str">
        <f t="shared" si="21"/>
        <v>Tussen of geschakelde woning 1975 tot en met 1991 100 m2 tot 150 m2</v>
      </c>
      <c r="I187" s="29">
        <f t="shared" si="22"/>
        <v>1150</v>
      </c>
      <c r="J187" s="29">
        <f t="shared" si="23"/>
        <v>2930</v>
      </c>
      <c r="K187" s="29">
        <f t="shared" si="24"/>
        <v>375000</v>
      </c>
      <c r="L187" s="90">
        <f t="shared" si="28"/>
        <v>1092.5</v>
      </c>
      <c r="M187" s="2">
        <v>0</v>
      </c>
      <c r="N187" s="2">
        <f t="shared" si="29"/>
        <v>57.5</v>
      </c>
      <c r="O187" s="90">
        <f t="shared" si="30"/>
        <v>2930</v>
      </c>
      <c r="P187" s="90">
        <f t="shared" si="25"/>
        <v>3436</v>
      </c>
    </row>
    <row r="188" spans="1:23" x14ac:dyDescent="0.3">
      <c r="A188" s="2" t="s">
        <v>16</v>
      </c>
      <c r="B188" s="2" t="s">
        <v>61</v>
      </c>
      <c r="C188" s="2" t="s">
        <v>64</v>
      </c>
      <c r="D188" s="1">
        <v>1600</v>
      </c>
      <c r="E188" s="1">
        <v>3440</v>
      </c>
      <c r="F188" s="2">
        <v>37500</v>
      </c>
      <c r="H188" s="11" t="str">
        <f t="shared" si="21"/>
        <v>Tussen of geschakelde woning 1975 tot en met 1991 150 m2 tot 250 m2</v>
      </c>
      <c r="I188" s="29">
        <f t="shared" si="22"/>
        <v>1600</v>
      </c>
      <c r="J188" s="29">
        <f t="shared" si="23"/>
        <v>3440</v>
      </c>
      <c r="K188" s="29">
        <f t="shared" si="24"/>
        <v>37500</v>
      </c>
      <c r="L188" s="90">
        <f t="shared" si="28"/>
        <v>1520</v>
      </c>
      <c r="M188" s="2">
        <v>0</v>
      </c>
      <c r="N188" s="2">
        <f t="shared" si="29"/>
        <v>80</v>
      </c>
      <c r="O188" s="90">
        <f t="shared" si="30"/>
        <v>3440</v>
      </c>
      <c r="P188" s="90">
        <f t="shared" si="25"/>
        <v>4144</v>
      </c>
    </row>
    <row r="189" spans="1:23" x14ac:dyDescent="0.3">
      <c r="A189" s="2" t="s">
        <v>16</v>
      </c>
      <c r="B189" s="2" t="s">
        <v>61</v>
      </c>
      <c r="C189" s="2" t="s">
        <v>58</v>
      </c>
      <c r="D189" s="1">
        <v>850</v>
      </c>
      <c r="E189" s="1">
        <v>1830</v>
      </c>
      <c r="F189" s="2">
        <v>3750</v>
      </c>
      <c r="H189" s="11" t="str">
        <f t="shared" si="21"/>
        <v>Tussen of geschakelde woning 1975 tot en met 1991 2 m2 tot 50 m2</v>
      </c>
      <c r="I189" s="29">
        <f t="shared" si="22"/>
        <v>850</v>
      </c>
      <c r="J189" s="29">
        <f t="shared" si="23"/>
        <v>1830</v>
      </c>
      <c r="K189" s="29">
        <f t="shared" si="24"/>
        <v>3750</v>
      </c>
      <c r="L189" s="90">
        <f t="shared" si="28"/>
        <v>807.5</v>
      </c>
      <c r="M189" s="2">
        <v>0</v>
      </c>
      <c r="N189" s="2">
        <f t="shared" si="29"/>
        <v>42.5</v>
      </c>
      <c r="O189" s="90">
        <f t="shared" si="30"/>
        <v>1830</v>
      </c>
      <c r="P189" s="90">
        <f t="shared" si="25"/>
        <v>2204</v>
      </c>
    </row>
    <row r="190" spans="1:23" x14ac:dyDescent="0.3">
      <c r="A190" s="2" t="s">
        <v>16</v>
      </c>
      <c r="B190" s="2" t="s">
        <v>61</v>
      </c>
      <c r="C190" s="2" t="s">
        <v>66</v>
      </c>
      <c r="D190" s="1">
        <v>1640</v>
      </c>
      <c r="E190" s="1">
        <v>3510</v>
      </c>
      <c r="F190" s="2">
        <v>3750</v>
      </c>
      <c r="H190" s="11" t="str">
        <f t="shared" si="21"/>
        <v>Tussen of geschakelde woning 1975 tot en met 1991 250 m2 tot 10.000m2</v>
      </c>
      <c r="I190" s="29">
        <f t="shared" si="22"/>
        <v>1640</v>
      </c>
      <c r="J190" s="29">
        <f t="shared" si="23"/>
        <v>3510</v>
      </c>
      <c r="K190" s="29">
        <f t="shared" si="24"/>
        <v>3750</v>
      </c>
      <c r="L190" s="90">
        <f t="shared" si="28"/>
        <v>1558</v>
      </c>
      <c r="M190" s="2">
        <v>0</v>
      </c>
      <c r="N190" s="2">
        <f t="shared" si="29"/>
        <v>82</v>
      </c>
      <c r="O190" s="90">
        <f t="shared" si="30"/>
        <v>3510</v>
      </c>
      <c r="P190" s="90">
        <f t="shared" si="25"/>
        <v>4231.6000000000004</v>
      </c>
    </row>
    <row r="191" spans="1:23" x14ac:dyDescent="0.3">
      <c r="A191" s="2" t="s">
        <v>16</v>
      </c>
      <c r="B191" s="2" t="s">
        <v>61</v>
      </c>
      <c r="C191" s="2" t="s">
        <v>18</v>
      </c>
      <c r="D191" s="1">
        <v>870</v>
      </c>
      <c r="E191" s="1">
        <v>1830</v>
      </c>
      <c r="F191" s="2">
        <v>17500</v>
      </c>
      <c r="H191" s="11" t="str">
        <f t="shared" si="21"/>
        <v>Tussen of geschakelde woning 1975 tot en met 1991 50 m2 tot 75 m2</v>
      </c>
      <c r="I191" s="29">
        <f t="shared" si="22"/>
        <v>870</v>
      </c>
      <c r="J191" s="29">
        <f t="shared" si="23"/>
        <v>1830</v>
      </c>
      <c r="K191" s="29">
        <f t="shared" si="24"/>
        <v>17500</v>
      </c>
      <c r="L191" s="90">
        <f t="shared" si="28"/>
        <v>826.5</v>
      </c>
      <c r="M191" s="2">
        <v>0</v>
      </c>
      <c r="N191" s="2">
        <f t="shared" si="29"/>
        <v>43.5</v>
      </c>
      <c r="O191" s="90">
        <f t="shared" si="30"/>
        <v>1830</v>
      </c>
      <c r="P191" s="90">
        <f t="shared" si="25"/>
        <v>2212.8000000000002</v>
      </c>
    </row>
    <row r="192" spans="1:23" x14ac:dyDescent="0.3">
      <c r="A192" s="2" t="s">
        <v>16</v>
      </c>
      <c r="B192" s="2" t="s">
        <v>61</v>
      </c>
      <c r="C192" s="2" t="s">
        <v>60</v>
      </c>
      <c r="D192" s="1">
        <v>960</v>
      </c>
      <c r="E192" s="1">
        <v>2410</v>
      </c>
      <c r="F192" s="2">
        <v>175000</v>
      </c>
      <c r="H192" s="11" t="str">
        <f t="shared" si="21"/>
        <v>Tussen of geschakelde woning 1975 tot en met 1991 75 m2 tot 100 m2</v>
      </c>
      <c r="I192" s="29">
        <f t="shared" si="22"/>
        <v>960</v>
      </c>
      <c r="J192" s="29">
        <f t="shared" si="23"/>
        <v>2410</v>
      </c>
      <c r="K192" s="29">
        <f t="shared" si="24"/>
        <v>175000</v>
      </c>
      <c r="L192" s="90">
        <f t="shared" si="28"/>
        <v>912</v>
      </c>
      <c r="M192" s="2">
        <v>0</v>
      </c>
      <c r="N192" s="2">
        <f t="shared" si="29"/>
        <v>48</v>
      </c>
      <c r="O192" s="90">
        <f t="shared" si="30"/>
        <v>2410</v>
      </c>
      <c r="P192" s="90">
        <f t="shared" si="25"/>
        <v>2832.4</v>
      </c>
    </row>
    <row r="193" spans="1:16" x14ac:dyDescent="0.3">
      <c r="A193" s="2" t="s">
        <v>16</v>
      </c>
      <c r="B193" s="2" t="s">
        <v>63</v>
      </c>
      <c r="C193" s="2" t="s">
        <v>22</v>
      </c>
      <c r="D193" s="1">
        <v>1070</v>
      </c>
      <c r="E193" s="1">
        <v>3190</v>
      </c>
      <c r="F193" s="2">
        <v>175000</v>
      </c>
      <c r="H193" s="11" t="str">
        <f t="shared" si="21"/>
        <v>Tussen of geschakelde woning 1992 tot en met 1999 100 m2 tot 150 m2</v>
      </c>
      <c r="I193" s="29">
        <f t="shared" si="22"/>
        <v>1070</v>
      </c>
      <c r="J193" s="29">
        <f t="shared" si="23"/>
        <v>3190</v>
      </c>
      <c r="K193" s="29">
        <f t="shared" si="24"/>
        <v>175000</v>
      </c>
      <c r="L193" s="90">
        <f t="shared" si="28"/>
        <v>1016.5</v>
      </c>
      <c r="M193" s="2">
        <v>0</v>
      </c>
      <c r="N193" s="2">
        <f t="shared" si="29"/>
        <v>53.5</v>
      </c>
      <c r="O193" s="90">
        <f t="shared" si="30"/>
        <v>3190</v>
      </c>
      <c r="P193" s="90">
        <f t="shared" si="25"/>
        <v>3660.8</v>
      </c>
    </row>
    <row r="194" spans="1:16" x14ac:dyDescent="0.3">
      <c r="A194" s="2" t="s">
        <v>16</v>
      </c>
      <c r="B194" s="2" t="s">
        <v>63</v>
      </c>
      <c r="C194" s="2" t="s">
        <v>64</v>
      </c>
      <c r="D194" s="1">
        <v>1380</v>
      </c>
      <c r="E194" s="1">
        <v>3690</v>
      </c>
      <c r="F194" s="2">
        <v>37500</v>
      </c>
      <c r="H194" s="11" t="str">
        <f t="shared" si="21"/>
        <v>Tussen of geschakelde woning 1992 tot en met 1999 150 m2 tot 250 m2</v>
      </c>
      <c r="I194" s="29">
        <f t="shared" si="22"/>
        <v>1380</v>
      </c>
      <c r="J194" s="29">
        <f t="shared" si="23"/>
        <v>3690</v>
      </c>
      <c r="K194" s="29">
        <f t="shared" si="24"/>
        <v>37500</v>
      </c>
      <c r="L194" s="90">
        <f t="shared" si="28"/>
        <v>1311</v>
      </c>
      <c r="M194" s="2">
        <v>0</v>
      </c>
      <c r="N194" s="2">
        <f t="shared" si="29"/>
        <v>69</v>
      </c>
      <c r="O194" s="90">
        <f t="shared" si="30"/>
        <v>3690</v>
      </c>
      <c r="P194" s="90">
        <f t="shared" si="25"/>
        <v>4297.2</v>
      </c>
    </row>
    <row r="195" spans="1:16" x14ac:dyDescent="0.3">
      <c r="A195" s="2" t="s">
        <v>16</v>
      </c>
      <c r="B195" s="2" t="s">
        <v>63</v>
      </c>
      <c r="C195" s="2" t="s">
        <v>58</v>
      </c>
      <c r="D195" s="1">
        <v>960</v>
      </c>
      <c r="E195" s="1">
        <v>2410</v>
      </c>
      <c r="F195" s="2">
        <v>275</v>
      </c>
      <c r="H195" s="11" t="str">
        <f t="shared" si="21"/>
        <v>Tussen of geschakelde woning 1992 tot en met 1999 2 m2 tot 50 m2</v>
      </c>
      <c r="I195" s="29">
        <f t="shared" si="22"/>
        <v>960</v>
      </c>
      <c r="J195" s="29">
        <f t="shared" si="23"/>
        <v>2410</v>
      </c>
      <c r="K195" s="29">
        <f t="shared" si="24"/>
        <v>275</v>
      </c>
      <c r="L195" s="90">
        <f t="shared" si="28"/>
        <v>912</v>
      </c>
      <c r="M195" s="2">
        <v>0</v>
      </c>
      <c r="N195" s="2">
        <f t="shared" si="29"/>
        <v>48</v>
      </c>
      <c r="O195" s="90">
        <f t="shared" si="30"/>
        <v>2410</v>
      </c>
      <c r="P195" s="90">
        <f t="shared" si="25"/>
        <v>2832.4</v>
      </c>
    </row>
    <row r="196" spans="1:16" x14ac:dyDescent="0.3">
      <c r="A196" s="2" t="s">
        <v>16</v>
      </c>
      <c r="B196" s="2" t="s">
        <v>63</v>
      </c>
      <c r="C196" s="2" t="s">
        <v>66</v>
      </c>
      <c r="D196" s="1">
        <v>1590</v>
      </c>
      <c r="E196" s="1">
        <v>3980</v>
      </c>
      <c r="F196" s="2">
        <v>750</v>
      </c>
      <c r="H196" s="11" t="str">
        <f t="shared" si="21"/>
        <v>Tussen of geschakelde woning 1992 tot en met 1999 250 m2 tot 10.000m2</v>
      </c>
      <c r="I196" s="29">
        <f t="shared" si="22"/>
        <v>1590</v>
      </c>
      <c r="J196" s="29">
        <f t="shared" si="23"/>
        <v>3980</v>
      </c>
      <c r="K196" s="29">
        <f t="shared" si="24"/>
        <v>750</v>
      </c>
      <c r="L196" s="90">
        <f t="shared" si="28"/>
        <v>1510.5</v>
      </c>
      <c r="M196" s="2">
        <v>0</v>
      </c>
      <c r="N196" s="2">
        <f t="shared" si="29"/>
        <v>79.5</v>
      </c>
      <c r="O196" s="90">
        <f t="shared" si="30"/>
        <v>3980</v>
      </c>
      <c r="P196" s="90">
        <f t="shared" si="25"/>
        <v>4679.6000000000004</v>
      </c>
    </row>
    <row r="197" spans="1:16" x14ac:dyDescent="0.3">
      <c r="A197" s="2" t="s">
        <v>16</v>
      </c>
      <c r="B197" s="2" t="s">
        <v>63</v>
      </c>
      <c r="C197" s="2" t="s">
        <v>18</v>
      </c>
      <c r="D197" s="1">
        <v>770</v>
      </c>
      <c r="E197" s="1">
        <v>1910</v>
      </c>
      <c r="F197" s="2">
        <v>3750</v>
      </c>
      <c r="H197" s="11" t="str">
        <f t="shared" si="21"/>
        <v>Tussen of geschakelde woning 1992 tot en met 1999 50 m2 tot 75 m2</v>
      </c>
      <c r="I197" s="29">
        <f t="shared" si="22"/>
        <v>770</v>
      </c>
      <c r="J197" s="29">
        <f t="shared" si="23"/>
        <v>1910</v>
      </c>
      <c r="K197" s="29">
        <f t="shared" si="24"/>
        <v>3750</v>
      </c>
      <c r="L197" s="90">
        <f t="shared" si="28"/>
        <v>731.5</v>
      </c>
      <c r="M197" s="2">
        <v>0</v>
      </c>
      <c r="N197" s="2">
        <f t="shared" si="29"/>
        <v>38.5</v>
      </c>
      <c r="O197" s="90">
        <f t="shared" si="30"/>
        <v>1910</v>
      </c>
      <c r="P197" s="90">
        <f t="shared" si="25"/>
        <v>2248.8000000000002</v>
      </c>
    </row>
    <row r="198" spans="1:16" x14ac:dyDescent="0.3">
      <c r="A198" s="2" t="s">
        <v>16</v>
      </c>
      <c r="B198" s="2" t="s">
        <v>63</v>
      </c>
      <c r="C198" s="2" t="s">
        <v>60</v>
      </c>
      <c r="D198" s="1">
        <v>870</v>
      </c>
      <c r="E198" s="1">
        <v>2520</v>
      </c>
      <c r="F198" s="2">
        <v>37500</v>
      </c>
      <c r="H198" s="11" t="str">
        <f t="shared" si="21"/>
        <v>Tussen of geschakelde woning 1992 tot en met 1999 75 m2 tot 100 m2</v>
      </c>
      <c r="I198" s="29">
        <f t="shared" si="22"/>
        <v>870</v>
      </c>
      <c r="J198" s="29">
        <f t="shared" si="23"/>
        <v>2520</v>
      </c>
      <c r="K198" s="29">
        <f t="shared" si="24"/>
        <v>37500</v>
      </c>
      <c r="L198" s="90">
        <f t="shared" si="28"/>
        <v>826.5</v>
      </c>
      <c r="M198" s="2">
        <v>0</v>
      </c>
      <c r="N198" s="2">
        <f t="shared" si="29"/>
        <v>43.5</v>
      </c>
      <c r="O198" s="90">
        <f t="shared" si="30"/>
        <v>2520</v>
      </c>
      <c r="P198" s="90">
        <f t="shared" si="25"/>
        <v>2902.8</v>
      </c>
    </row>
    <row r="199" spans="1:16" x14ac:dyDescent="0.3">
      <c r="A199" s="2" t="s">
        <v>16</v>
      </c>
      <c r="B199" s="2" t="s">
        <v>65</v>
      </c>
      <c r="C199" s="2" t="s">
        <v>22</v>
      </c>
      <c r="D199" s="1">
        <v>970</v>
      </c>
      <c r="E199" s="1">
        <v>3180</v>
      </c>
      <c r="F199" s="2">
        <v>62500</v>
      </c>
      <c r="H199" s="11" t="str">
        <f t="shared" si="21"/>
        <v>Tussen of geschakelde woning 2000 tot en met 2005 100 m2 tot 150 m2</v>
      </c>
      <c r="I199" s="29">
        <f t="shared" si="22"/>
        <v>970</v>
      </c>
      <c r="J199" s="29">
        <f t="shared" si="23"/>
        <v>3180</v>
      </c>
      <c r="K199" s="29">
        <f t="shared" si="24"/>
        <v>62500</v>
      </c>
      <c r="L199" s="90">
        <f t="shared" si="28"/>
        <v>921.5</v>
      </c>
      <c r="M199" s="2">
        <v>0</v>
      </c>
      <c r="N199" s="2">
        <f t="shared" si="29"/>
        <v>48.5</v>
      </c>
      <c r="O199" s="90">
        <f t="shared" si="30"/>
        <v>3180</v>
      </c>
      <c r="P199" s="90">
        <f t="shared" si="25"/>
        <v>3606.8</v>
      </c>
    </row>
    <row r="200" spans="1:16" x14ac:dyDescent="0.3">
      <c r="A200" s="2" t="s">
        <v>16</v>
      </c>
      <c r="B200" s="2" t="s">
        <v>65</v>
      </c>
      <c r="C200" s="2" t="s">
        <v>64</v>
      </c>
      <c r="D200" s="1">
        <v>1250</v>
      </c>
      <c r="E200" s="1">
        <v>3770</v>
      </c>
      <c r="F200" s="2">
        <v>37500</v>
      </c>
      <c r="H200" s="11" t="str">
        <f t="shared" si="21"/>
        <v>Tussen of geschakelde woning 2000 tot en met 2005 150 m2 tot 250 m2</v>
      </c>
      <c r="I200" s="29">
        <f t="shared" si="22"/>
        <v>1250</v>
      </c>
      <c r="J200" s="29">
        <f t="shared" si="23"/>
        <v>3770</v>
      </c>
      <c r="K200" s="29">
        <f t="shared" si="24"/>
        <v>37500</v>
      </c>
      <c r="L200" s="90">
        <f t="shared" si="28"/>
        <v>1187.5</v>
      </c>
      <c r="M200" s="2">
        <v>0</v>
      </c>
      <c r="N200" s="2">
        <f t="shared" si="29"/>
        <v>62.5</v>
      </c>
      <c r="O200" s="90">
        <f t="shared" si="30"/>
        <v>3770</v>
      </c>
      <c r="P200" s="90">
        <f t="shared" si="25"/>
        <v>4320</v>
      </c>
    </row>
    <row r="201" spans="1:16" x14ac:dyDescent="0.3">
      <c r="A201" s="2" t="s">
        <v>16</v>
      </c>
      <c r="B201" s="2" t="s">
        <v>65</v>
      </c>
      <c r="C201" s="2" t="s">
        <v>58</v>
      </c>
      <c r="D201" s="1">
        <v>980</v>
      </c>
      <c r="E201" s="1">
        <v>2570</v>
      </c>
      <c r="F201" s="2">
        <v>275</v>
      </c>
      <c r="H201" s="11" t="str">
        <f t="shared" si="21"/>
        <v>Tussen of geschakelde woning 2000 tot en met 2005 2 m2 tot 50 m2</v>
      </c>
      <c r="I201" s="29">
        <f t="shared" si="22"/>
        <v>980</v>
      </c>
      <c r="J201" s="29">
        <f t="shared" si="23"/>
        <v>2570</v>
      </c>
      <c r="K201" s="29">
        <f t="shared" si="24"/>
        <v>275</v>
      </c>
      <c r="L201" s="90">
        <f t="shared" si="28"/>
        <v>931</v>
      </c>
      <c r="M201" s="2">
        <v>0</v>
      </c>
      <c r="N201" s="2">
        <f t="shared" si="29"/>
        <v>49</v>
      </c>
      <c r="O201" s="90">
        <f t="shared" si="30"/>
        <v>2570</v>
      </c>
      <c r="P201" s="90">
        <f t="shared" si="25"/>
        <v>3001.2</v>
      </c>
    </row>
    <row r="202" spans="1:16" x14ac:dyDescent="0.3">
      <c r="A202" s="2" t="s">
        <v>16</v>
      </c>
      <c r="B202" s="2" t="s">
        <v>65</v>
      </c>
      <c r="C202" s="2" t="s">
        <v>66</v>
      </c>
      <c r="D202" s="1">
        <v>1600</v>
      </c>
      <c r="E202" s="1">
        <v>4330</v>
      </c>
      <c r="F202" s="2">
        <v>750</v>
      </c>
      <c r="H202" s="11" t="str">
        <f t="shared" si="21"/>
        <v>Tussen of geschakelde woning 2000 tot en met 2005 250 m2 tot 10.000m2</v>
      </c>
      <c r="I202" s="29">
        <f t="shared" si="22"/>
        <v>1600</v>
      </c>
      <c r="J202" s="29">
        <f t="shared" si="23"/>
        <v>4330</v>
      </c>
      <c r="K202" s="29">
        <f t="shared" si="24"/>
        <v>750</v>
      </c>
      <c r="L202" s="90">
        <f t="shared" si="28"/>
        <v>1520</v>
      </c>
      <c r="M202" s="2">
        <v>0</v>
      </c>
      <c r="N202" s="2">
        <f t="shared" si="29"/>
        <v>80</v>
      </c>
      <c r="O202" s="90">
        <f t="shared" si="30"/>
        <v>4330</v>
      </c>
      <c r="P202" s="90">
        <f t="shared" si="25"/>
        <v>5034</v>
      </c>
    </row>
    <row r="203" spans="1:16" x14ac:dyDescent="0.3">
      <c r="A203" s="2" t="s">
        <v>16</v>
      </c>
      <c r="B203" s="2" t="s">
        <v>65</v>
      </c>
      <c r="C203" s="2" t="s">
        <v>18</v>
      </c>
      <c r="D203" s="1">
        <v>800</v>
      </c>
      <c r="E203" s="1">
        <v>2060</v>
      </c>
      <c r="F203" s="2">
        <v>275</v>
      </c>
      <c r="H203" s="11" t="str">
        <f t="shared" si="21"/>
        <v>Tussen of geschakelde woning 2000 tot en met 2005 50 m2 tot 75 m2</v>
      </c>
      <c r="I203" s="29">
        <f t="shared" si="22"/>
        <v>800</v>
      </c>
      <c r="J203" s="29">
        <f t="shared" si="23"/>
        <v>2060</v>
      </c>
      <c r="K203" s="29">
        <f t="shared" si="24"/>
        <v>275</v>
      </c>
      <c r="L203" s="90">
        <f t="shared" si="28"/>
        <v>760</v>
      </c>
      <c r="M203" s="2">
        <v>0</v>
      </c>
      <c r="N203" s="2">
        <f t="shared" si="29"/>
        <v>40</v>
      </c>
      <c r="O203" s="90">
        <f t="shared" si="30"/>
        <v>2060</v>
      </c>
      <c r="P203" s="90">
        <f t="shared" si="25"/>
        <v>2412</v>
      </c>
    </row>
    <row r="204" spans="1:16" x14ac:dyDescent="0.3">
      <c r="A204" s="2" t="s">
        <v>16</v>
      </c>
      <c r="B204" s="2" t="s">
        <v>65</v>
      </c>
      <c r="C204" s="2" t="s">
        <v>60</v>
      </c>
      <c r="D204" s="1">
        <v>810</v>
      </c>
      <c r="E204" s="1">
        <v>2610</v>
      </c>
      <c r="F204" s="2">
        <v>17500</v>
      </c>
      <c r="H204" s="11" t="str">
        <f t="shared" si="21"/>
        <v>Tussen of geschakelde woning 2000 tot en met 2005 75 m2 tot 100 m2</v>
      </c>
      <c r="I204" s="29">
        <f t="shared" si="22"/>
        <v>810</v>
      </c>
      <c r="J204" s="29">
        <f t="shared" si="23"/>
        <v>2610</v>
      </c>
      <c r="K204" s="29">
        <f t="shared" si="24"/>
        <v>17500</v>
      </c>
      <c r="L204" s="90">
        <f t="shared" si="28"/>
        <v>769.5</v>
      </c>
      <c r="M204" s="2">
        <v>0</v>
      </c>
      <c r="N204" s="2">
        <f t="shared" si="29"/>
        <v>40.5</v>
      </c>
      <c r="O204" s="90">
        <f t="shared" si="30"/>
        <v>2610</v>
      </c>
      <c r="P204" s="90">
        <f t="shared" si="25"/>
        <v>2966.4</v>
      </c>
    </row>
    <row r="205" spans="1:16" x14ac:dyDescent="0.3">
      <c r="A205" s="2" t="s">
        <v>16</v>
      </c>
      <c r="B205" s="2" t="s">
        <v>67</v>
      </c>
      <c r="C205" s="2" t="s">
        <v>22</v>
      </c>
      <c r="D205" s="1">
        <v>930</v>
      </c>
      <c r="E205" s="1">
        <v>2970</v>
      </c>
      <c r="F205" s="2">
        <v>62500</v>
      </c>
      <c r="H205" s="11" t="str">
        <f t="shared" si="21"/>
        <v>Tussen of geschakelde woning 2006 tot en met 2012 100 m2 tot 150 m2</v>
      </c>
      <c r="I205" s="29">
        <f t="shared" si="22"/>
        <v>930</v>
      </c>
      <c r="J205" s="29">
        <f t="shared" si="23"/>
        <v>2970</v>
      </c>
      <c r="K205" s="29">
        <f t="shared" si="24"/>
        <v>62500</v>
      </c>
      <c r="L205" s="90">
        <f t="shared" si="28"/>
        <v>883.5</v>
      </c>
      <c r="M205" s="2">
        <v>0</v>
      </c>
      <c r="N205" s="2">
        <f t="shared" si="29"/>
        <v>46.5</v>
      </c>
      <c r="O205" s="90">
        <f t="shared" si="30"/>
        <v>2970</v>
      </c>
      <c r="P205" s="90">
        <f t="shared" si="25"/>
        <v>3379.2</v>
      </c>
    </row>
    <row r="206" spans="1:16" x14ac:dyDescent="0.3">
      <c r="A206" s="2" t="s">
        <v>16</v>
      </c>
      <c r="B206" s="2" t="s">
        <v>67</v>
      </c>
      <c r="C206" s="2" t="s">
        <v>64</v>
      </c>
      <c r="D206" s="1">
        <v>1200</v>
      </c>
      <c r="E206" s="1">
        <v>3660</v>
      </c>
      <c r="F206" s="2">
        <v>17500</v>
      </c>
      <c r="H206" s="11" t="str">
        <f t="shared" si="21"/>
        <v>Tussen of geschakelde woning 2006 tot en met 2012 150 m2 tot 250 m2</v>
      </c>
      <c r="I206" s="29">
        <f t="shared" si="22"/>
        <v>1200</v>
      </c>
      <c r="J206" s="29">
        <f t="shared" si="23"/>
        <v>3660</v>
      </c>
      <c r="K206" s="29">
        <f t="shared" si="24"/>
        <v>17500</v>
      </c>
      <c r="L206" s="90">
        <f t="shared" si="28"/>
        <v>1140</v>
      </c>
      <c r="M206" s="2">
        <v>0</v>
      </c>
      <c r="N206" s="2">
        <f t="shared" si="29"/>
        <v>60</v>
      </c>
      <c r="O206" s="90">
        <f t="shared" si="30"/>
        <v>3660</v>
      </c>
      <c r="P206" s="90">
        <f t="shared" si="25"/>
        <v>4188</v>
      </c>
    </row>
    <row r="207" spans="1:16" x14ac:dyDescent="0.3">
      <c r="A207" s="2" t="s">
        <v>16</v>
      </c>
      <c r="B207" s="2" t="s">
        <v>67</v>
      </c>
      <c r="C207" s="2" t="s">
        <v>58</v>
      </c>
      <c r="D207" s="1">
        <v>960</v>
      </c>
      <c r="E207" s="1">
        <v>2710</v>
      </c>
      <c r="F207" s="2">
        <v>275</v>
      </c>
      <c r="H207" s="11" t="str">
        <f t="shared" si="21"/>
        <v>Tussen of geschakelde woning 2006 tot en met 2012 2 m2 tot 50 m2</v>
      </c>
      <c r="I207" s="29">
        <f t="shared" si="22"/>
        <v>960</v>
      </c>
      <c r="J207" s="29">
        <f t="shared" si="23"/>
        <v>2710</v>
      </c>
      <c r="K207" s="29">
        <f t="shared" si="24"/>
        <v>275</v>
      </c>
      <c r="L207" s="90">
        <f t="shared" si="28"/>
        <v>912</v>
      </c>
      <c r="M207" s="2">
        <v>0</v>
      </c>
      <c r="N207" s="2">
        <f t="shared" si="29"/>
        <v>48</v>
      </c>
      <c r="O207" s="90">
        <f t="shared" si="30"/>
        <v>2710</v>
      </c>
      <c r="P207" s="90">
        <f t="shared" si="25"/>
        <v>3132.4</v>
      </c>
    </row>
    <row r="208" spans="1:16" x14ac:dyDescent="0.3">
      <c r="A208" s="2" t="s">
        <v>16</v>
      </c>
      <c r="B208" s="2" t="s">
        <v>67</v>
      </c>
      <c r="C208" s="2" t="s">
        <v>66</v>
      </c>
      <c r="D208" s="1">
        <v>1540</v>
      </c>
      <c r="E208" s="1">
        <v>4330</v>
      </c>
      <c r="F208" s="2">
        <v>275</v>
      </c>
      <c r="H208" s="11" t="str">
        <f t="shared" si="21"/>
        <v>Tussen of geschakelde woning 2006 tot en met 2012 250 m2 tot 10.000m2</v>
      </c>
      <c r="I208" s="29">
        <f t="shared" si="22"/>
        <v>1540</v>
      </c>
      <c r="J208" s="29">
        <f t="shared" si="23"/>
        <v>4330</v>
      </c>
      <c r="K208" s="29">
        <f t="shared" si="24"/>
        <v>275</v>
      </c>
      <c r="L208" s="90">
        <f t="shared" si="28"/>
        <v>1463</v>
      </c>
      <c r="M208" s="2">
        <v>0</v>
      </c>
      <c r="N208" s="2">
        <f t="shared" si="29"/>
        <v>77</v>
      </c>
      <c r="O208" s="90">
        <f t="shared" si="30"/>
        <v>4330</v>
      </c>
      <c r="P208" s="90">
        <f t="shared" si="25"/>
        <v>5007.6000000000004</v>
      </c>
    </row>
    <row r="209" spans="1:16" x14ac:dyDescent="0.3">
      <c r="A209" s="2" t="s">
        <v>16</v>
      </c>
      <c r="B209" s="2" t="s">
        <v>67</v>
      </c>
      <c r="C209" s="2" t="s">
        <v>18</v>
      </c>
      <c r="D209" s="1">
        <v>780</v>
      </c>
      <c r="E209" s="1">
        <v>2320</v>
      </c>
      <c r="F209" s="2">
        <v>3750</v>
      </c>
      <c r="H209" s="11" t="str">
        <f t="shared" si="21"/>
        <v>Tussen of geschakelde woning 2006 tot en met 2012 50 m2 tot 75 m2</v>
      </c>
      <c r="I209" s="29">
        <f t="shared" si="22"/>
        <v>780</v>
      </c>
      <c r="J209" s="29">
        <f t="shared" si="23"/>
        <v>2320</v>
      </c>
      <c r="K209" s="29">
        <f t="shared" si="24"/>
        <v>3750</v>
      </c>
      <c r="L209" s="90">
        <f t="shared" si="28"/>
        <v>741</v>
      </c>
      <c r="M209" s="2">
        <v>0</v>
      </c>
      <c r="N209" s="2">
        <f t="shared" si="29"/>
        <v>39</v>
      </c>
      <c r="O209" s="90">
        <f t="shared" si="30"/>
        <v>2320</v>
      </c>
      <c r="P209" s="90">
        <f t="shared" si="25"/>
        <v>2663.2</v>
      </c>
    </row>
    <row r="210" spans="1:16" x14ac:dyDescent="0.3">
      <c r="A210" s="2" t="s">
        <v>16</v>
      </c>
      <c r="B210" s="2" t="s">
        <v>67</v>
      </c>
      <c r="C210" s="2" t="s">
        <v>60</v>
      </c>
      <c r="D210" s="1">
        <v>810</v>
      </c>
      <c r="E210" s="1">
        <v>2500</v>
      </c>
      <c r="F210" s="2">
        <v>7500</v>
      </c>
      <c r="H210" s="11" t="str">
        <f t="shared" si="21"/>
        <v>Tussen of geschakelde woning 2006 tot en met 2012 75 m2 tot 100 m2</v>
      </c>
      <c r="I210" s="29">
        <f t="shared" si="22"/>
        <v>810</v>
      </c>
      <c r="J210" s="29">
        <f t="shared" si="23"/>
        <v>2500</v>
      </c>
      <c r="K210" s="29">
        <f t="shared" si="24"/>
        <v>7500</v>
      </c>
      <c r="L210" s="90">
        <f t="shared" si="28"/>
        <v>769.5</v>
      </c>
      <c r="M210" s="2">
        <v>0</v>
      </c>
      <c r="N210" s="2">
        <f t="shared" si="29"/>
        <v>40.5</v>
      </c>
      <c r="O210" s="90">
        <f t="shared" si="30"/>
        <v>2500</v>
      </c>
      <c r="P210" s="90">
        <f t="shared" si="25"/>
        <v>2856.4</v>
      </c>
    </row>
    <row r="211" spans="1:16" x14ac:dyDescent="0.3">
      <c r="A211" s="2" t="s">
        <v>16</v>
      </c>
      <c r="B211" s="2" t="s">
        <v>68</v>
      </c>
      <c r="C211" s="2" t="s">
        <v>22</v>
      </c>
      <c r="D211" s="1">
        <v>810</v>
      </c>
      <c r="E211" s="1">
        <v>2510</v>
      </c>
      <c r="F211" s="2">
        <v>62500</v>
      </c>
      <c r="H211" s="11" t="str">
        <f t="shared" si="21"/>
        <v>Tussen of geschakelde woning vanaf 2013 100 m2 tot 150 m2</v>
      </c>
      <c r="I211" s="29">
        <f t="shared" si="22"/>
        <v>810</v>
      </c>
      <c r="J211" s="29">
        <f t="shared" si="23"/>
        <v>2510</v>
      </c>
      <c r="K211" s="29">
        <f t="shared" si="24"/>
        <v>62500</v>
      </c>
      <c r="L211" s="90">
        <f t="shared" ref="L211:L216" si="31">I211</f>
        <v>810</v>
      </c>
      <c r="M211" s="2">
        <v>250</v>
      </c>
      <c r="N211" s="2">
        <v>0</v>
      </c>
      <c r="O211" s="90">
        <f t="shared" ref="O211:O216" si="32">J211-250</f>
        <v>2260</v>
      </c>
      <c r="P211" s="90">
        <f t="shared" si="25"/>
        <v>2260</v>
      </c>
    </row>
    <row r="212" spans="1:16" x14ac:dyDescent="0.3">
      <c r="A212" s="2" t="s">
        <v>16</v>
      </c>
      <c r="B212" s="2" t="s">
        <v>68</v>
      </c>
      <c r="C212" s="2" t="s">
        <v>64</v>
      </c>
      <c r="D212" s="1">
        <v>1080</v>
      </c>
      <c r="E212" s="1">
        <v>3220</v>
      </c>
      <c r="F212" s="2">
        <v>7500</v>
      </c>
      <c r="H212" s="11" t="str">
        <f t="shared" si="21"/>
        <v>Tussen of geschakelde woning vanaf 2013 150 m2 tot 250 m2</v>
      </c>
      <c r="I212" s="29">
        <f t="shared" si="22"/>
        <v>1080</v>
      </c>
      <c r="J212" s="29">
        <f t="shared" si="23"/>
        <v>3220</v>
      </c>
      <c r="K212" s="29">
        <f t="shared" si="24"/>
        <v>7500</v>
      </c>
      <c r="L212" s="90">
        <f t="shared" si="31"/>
        <v>1080</v>
      </c>
      <c r="M212" s="2">
        <v>250</v>
      </c>
      <c r="N212" s="2">
        <v>0</v>
      </c>
      <c r="O212" s="90">
        <f t="shared" si="32"/>
        <v>2970</v>
      </c>
      <c r="P212" s="90">
        <f t="shared" si="25"/>
        <v>2970</v>
      </c>
    </row>
    <row r="213" spans="1:16" x14ac:dyDescent="0.3">
      <c r="A213" s="2" t="s">
        <v>16</v>
      </c>
      <c r="B213" s="2" t="s">
        <v>68</v>
      </c>
      <c r="C213" s="2" t="s">
        <v>58</v>
      </c>
      <c r="D213" s="1">
        <v>820</v>
      </c>
      <c r="E213" s="1">
        <v>1770</v>
      </c>
      <c r="F213" s="2">
        <v>275</v>
      </c>
      <c r="H213" s="11" t="str">
        <f t="shared" si="21"/>
        <v>Tussen of geschakelde woning vanaf 2013 2 m2 tot 50 m2</v>
      </c>
      <c r="I213" s="29">
        <f t="shared" si="22"/>
        <v>820</v>
      </c>
      <c r="J213" s="29">
        <f t="shared" si="23"/>
        <v>1770</v>
      </c>
      <c r="K213" s="29">
        <f t="shared" si="24"/>
        <v>275</v>
      </c>
      <c r="L213" s="90">
        <f t="shared" si="31"/>
        <v>820</v>
      </c>
      <c r="M213" s="2">
        <v>250</v>
      </c>
      <c r="N213" s="2">
        <v>0</v>
      </c>
      <c r="O213" s="90">
        <f t="shared" si="32"/>
        <v>1520</v>
      </c>
      <c r="P213" s="90">
        <f t="shared" si="25"/>
        <v>1520</v>
      </c>
    </row>
    <row r="214" spans="1:16" x14ac:dyDescent="0.3">
      <c r="A214" s="2" t="s">
        <v>16</v>
      </c>
      <c r="B214" s="2" t="s">
        <v>68</v>
      </c>
      <c r="C214" s="2" t="s">
        <v>66</v>
      </c>
      <c r="D214" s="1">
        <v>1270</v>
      </c>
      <c r="E214" s="1">
        <v>3780</v>
      </c>
      <c r="F214" s="2">
        <v>275</v>
      </c>
      <c r="H214" s="11" t="str">
        <f t="shared" si="21"/>
        <v>Tussen of geschakelde woning vanaf 2013 250 m2 tot 10.000m2</v>
      </c>
      <c r="I214" s="29">
        <f t="shared" si="22"/>
        <v>1270</v>
      </c>
      <c r="J214" s="29">
        <f t="shared" si="23"/>
        <v>3780</v>
      </c>
      <c r="K214" s="29">
        <f t="shared" si="24"/>
        <v>275</v>
      </c>
      <c r="L214" s="90">
        <f t="shared" si="31"/>
        <v>1270</v>
      </c>
      <c r="M214" s="2">
        <v>250</v>
      </c>
      <c r="N214" s="2">
        <v>0</v>
      </c>
      <c r="O214" s="90">
        <f t="shared" si="32"/>
        <v>3530</v>
      </c>
      <c r="P214" s="90">
        <f t="shared" si="25"/>
        <v>3530</v>
      </c>
    </row>
    <row r="215" spans="1:16" x14ac:dyDescent="0.3">
      <c r="A215" s="2" t="s">
        <v>16</v>
      </c>
      <c r="B215" s="2" t="s">
        <v>68</v>
      </c>
      <c r="C215" s="2" t="s">
        <v>18</v>
      </c>
      <c r="D215" s="1">
        <v>650</v>
      </c>
      <c r="E215" s="1">
        <v>1840</v>
      </c>
      <c r="F215" s="2">
        <v>3750</v>
      </c>
      <c r="H215" s="11" t="str">
        <f t="shared" si="21"/>
        <v>Tussen of geschakelde woning vanaf 2013 50 m2 tot 75 m2</v>
      </c>
      <c r="I215" s="29">
        <f t="shared" si="22"/>
        <v>650</v>
      </c>
      <c r="J215" s="29">
        <f t="shared" si="23"/>
        <v>1840</v>
      </c>
      <c r="K215" s="29">
        <f t="shared" si="24"/>
        <v>3750</v>
      </c>
      <c r="L215" s="90">
        <f t="shared" si="31"/>
        <v>650</v>
      </c>
      <c r="M215" s="2">
        <v>250</v>
      </c>
      <c r="N215" s="2">
        <v>0</v>
      </c>
      <c r="O215" s="90">
        <f t="shared" si="32"/>
        <v>1590</v>
      </c>
      <c r="P215" s="90">
        <f t="shared" si="25"/>
        <v>1590</v>
      </c>
    </row>
    <row r="216" spans="1:16" x14ac:dyDescent="0.3">
      <c r="A216" s="2" t="s">
        <v>16</v>
      </c>
      <c r="B216" s="2" t="s">
        <v>68</v>
      </c>
      <c r="C216" s="2" t="s">
        <v>60</v>
      </c>
      <c r="D216" s="1">
        <v>700</v>
      </c>
      <c r="E216" s="1">
        <v>2130</v>
      </c>
      <c r="F216" s="2">
        <v>7500</v>
      </c>
      <c r="H216" s="11" t="str">
        <f t="shared" si="21"/>
        <v>Tussen of geschakelde woning vanaf 2013 75 m2 tot 100 m2</v>
      </c>
      <c r="I216" s="29">
        <f t="shared" si="22"/>
        <v>700</v>
      </c>
      <c r="J216" s="29">
        <f t="shared" si="23"/>
        <v>2130</v>
      </c>
      <c r="K216" s="29">
        <f t="shared" si="24"/>
        <v>7500</v>
      </c>
      <c r="L216" s="90">
        <f t="shared" si="31"/>
        <v>700</v>
      </c>
      <c r="M216" s="2">
        <v>250</v>
      </c>
      <c r="N216" s="2">
        <v>0</v>
      </c>
      <c r="O216" s="90">
        <f t="shared" si="32"/>
        <v>1880</v>
      </c>
      <c r="P216" s="90">
        <f t="shared" si="25"/>
        <v>1880</v>
      </c>
    </row>
    <row r="217" spans="1:16" x14ac:dyDescent="0.3">
      <c r="A217" s="2" t="s">
        <v>62</v>
      </c>
      <c r="B217" s="2" t="s">
        <v>57</v>
      </c>
      <c r="C217" s="2" t="s">
        <v>22</v>
      </c>
      <c r="D217" s="1">
        <v>1850</v>
      </c>
      <c r="E217" s="1">
        <v>3340</v>
      </c>
      <c r="F217" s="2">
        <v>87500</v>
      </c>
      <c r="H217" s="11" t="str">
        <f t="shared" ref="H217:H264" si="33">_xlfn.CONCAT(A217," ",B217," ",C217)</f>
        <v>Vrijstaande woning 1200 tot en met 1945 100 m2 tot 150 m2</v>
      </c>
      <c r="I217" s="29">
        <f t="shared" ref="I217:I264" si="34">D217</f>
        <v>1850</v>
      </c>
      <c r="J217" s="29">
        <f t="shared" ref="J217:J264" si="35">E217</f>
        <v>3340</v>
      </c>
      <c r="K217" s="29">
        <f t="shared" ref="K217:K264" si="36">F217</f>
        <v>87500</v>
      </c>
      <c r="L217" s="90">
        <f t="shared" ref="L217:L258" si="37">I217-N217</f>
        <v>1757.5</v>
      </c>
      <c r="M217" s="2">
        <v>0</v>
      </c>
      <c r="N217" s="2">
        <f t="shared" ref="N217:N258" si="38">I217*0.05</f>
        <v>92.5</v>
      </c>
      <c r="O217" s="90">
        <f t="shared" ref="O217:O258" si="39">J217</f>
        <v>3340</v>
      </c>
      <c r="P217" s="90">
        <f t="shared" ref="P217:P264" si="40">(N217*8.8)+O217</f>
        <v>4154</v>
      </c>
    </row>
    <row r="218" spans="1:16" x14ac:dyDescent="0.3">
      <c r="A218" s="2" t="s">
        <v>62</v>
      </c>
      <c r="B218" s="2" t="s">
        <v>57</v>
      </c>
      <c r="C218" s="2" t="s">
        <v>64</v>
      </c>
      <c r="D218" s="1">
        <v>2210</v>
      </c>
      <c r="E218" s="1">
        <v>4000</v>
      </c>
      <c r="F218" s="2">
        <v>87500</v>
      </c>
      <c r="H218" s="11" t="str">
        <f t="shared" si="33"/>
        <v>Vrijstaande woning 1200 tot en met 1945 150 m2 tot 250 m2</v>
      </c>
      <c r="I218" s="29">
        <f t="shared" si="34"/>
        <v>2210</v>
      </c>
      <c r="J218" s="29">
        <f t="shared" si="35"/>
        <v>4000</v>
      </c>
      <c r="K218" s="29">
        <f t="shared" si="36"/>
        <v>87500</v>
      </c>
      <c r="L218" s="90">
        <f t="shared" si="37"/>
        <v>2099.5</v>
      </c>
      <c r="M218" s="2">
        <v>0</v>
      </c>
      <c r="N218" s="2">
        <f t="shared" si="38"/>
        <v>110.5</v>
      </c>
      <c r="O218" s="90">
        <f t="shared" si="39"/>
        <v>4000</v>
      </c>
      <c r="P218" s="90">
        <f t="shared" si="40"/>
        <v>4972.3999999999996</v>
      </c>
    </row>
    <row r="219" spans="1:16" x14ac:dyDescent="0.3">
      <c r="A219" s="2" t="s">
        <v>62</v>
      </c>
      <c r="B219" s="2" t="s">
        <v>57</v>
      </c>
      <c r="C219" s="2" t="s">
        <v>58</v>
      </c>
      <c r="D219" s="1">
        <v>1720</v>
      </c>
      <c r="E219" s="1">
        <v>3130</v>
      </c>
      <c r="F219" s="2">
        <v>750</v>
      </c>
      <c r="H219" s="11" t="str">
        <f t="shared" si="33"/>
        <v>Vrijstaande woning 1200 tot en met 1945 2 m2 tot 50 m2</v>
      </c>
      <c r="I219" s="29">
        <f t="shared" si="34"/>
        <v>1720</v>
      </c>
      <c r="J219" s="29">
        <f t="shared" si="35"/>
        <v>3130</v>
      </c>
      <c r="K219" s="29">
        <f t="shared" si="36"/>
        <v>750</v>
      </c>
      <c r="L219" s="90">
        <f t="shared" si="37"/>
        <v>1634</v>
      </c>
      <c r="M219" s="2">
        <v>0</v>
      </c>
      <c r="N219" s="2">
        <f t="shared" si="38"/>
        <v>86</v>
      </c>
      <c r="O219" s="90">
        <f t="shared" si="39"/>
        <v>3130</v>
      </c>
      <c r="P219" s="90">
        <f t="shared" si="40"/>
        <v>3886.8</v>
      </c>
    </row>
    <row r="220" spans="1:16" x14ac:dyDescent="0.3">
      <c r="A220" s="2" t="s">
        <v>62</v>
      </c>
      <c r="B220" s="2" t="s">
        <v>57</v>
      </c>
      <c r="C220" s="2" t="s">
        <v>66</v>
      </c>
      <c r="D220" s="1">
        <v>2840</v>
      </c>
      <c r="E220" s="1">
        <v>5020</v>
      </c>
      <c r="F220" s="2">
        <v>62500</v>
      </c>
      <c r="H220" s="11" t="str">
        <f t="shared" si="33"/>
        <v>Vrijstaande woning 1200 tot en met 1945 250 m2 tot 10.000m2</v>
      </c>
      <c r="I220" s="29">
        <f t="shared" si="34"/>
        <v>2840</v>
      </c>
      <c r="J220" s="29">
        <f t="shared" si="35"/>
        <v>5020</v>
      </c>
      <c r="K220" s="29">
        <f t="shared" si="36"/>
        <v>62500</v>
      </c>
      <c r="L220" s="90">
        <f t="shared" si="37"/>
        <v>2698</v>
      </c>
      <c r="M220" s="2">
        <v>0</v>
      </c>
      <c r="N220" s="2">
        <f t="shared" si="38"/>
        <v>142</v>
      </c>
      <c r="O220" s="90">
        <f t="shared" si="39"/>
        <v>5020</v>
      </c>
      <c r="P220" s="90">
        <f t="shared" si="40"/>
        <v>6269.6</v>
      </c>
    </row>
    <row r="221" spans="1:16" x14ac:dyDescent="0.3">
      <c r="A221" s="2" t="s">
        <v>62</v>
      </c>
      <c r="B221" s="2" t="s">
        <v>57</v>
      </c>
      <c r="C221" s="2" t="s">
        <v>18</v>
      </c>
      <c r="D221" s="1">
        <v>1550</v>
      </c>
      <c r="E221" s="1">
        <v>2700</v>
      </c>
      <c r="F221" s="2">
        <v>7500</v>
      </c>
      <c r="H221" s="11" t="str">
        <f t="shared" si="33"/>
        <v>Vrijstaande woning 1200 tot en met 1945 50 m2 tot 75 m2</v>
      </c>
      <c r="I221" s="29">
        <f t="shared" si="34"/>
        <v>1550</v>
      </c>
      <c r="J221" s="29">
        <f t="shared" si="35"/>
        <v>2700</v>
      </c>
      <c r="K221" s="29">
        <f t="shared" si="36"/>
        <v>7500</v>
      </c>
      <c r="L221" s="90">
        <f t="shared" si="37"/>
        <v>1472.5</v>
      </c>
      <c r="M221" s="2">
        <v>0</v>
      </c>
      <c r="N221" s="2">
        <f t="shared" si="38"/>
        <v>77.5</v>
      </c>
      <c r="O221" s="90">
        <f t="shared" si="39"/>
        <v>2700</v>
      </c>
      <c r="P221" s="90">
        <f t="shared" si="40"/>
        <v>3382</v>
      </c>
    </row>
    <row r="222" spans="1:16" x14ac:dyDescent="0.3">
      <c r="A222" s="2" t="s">
        <v>62</v>
      </c>
      <c r="B222" s="2" t="s">
        <v>57</v>
      </c>
      <c r="C222" s="2" t="s">
        <v>60</v>
      </c>
      <c r="D222" s="1">
        <v>1670</v>
      </c>
      <c r="E222" s="1">
        <v>2960</v>
      </c>
      <c r="F222" s="2">
        <v>17500</v>
      </c>
      <c r="H222" s="11" t="str">
        <f t="shared" si="33"/>
        <v>Vrijstaande woning 1200 tot en met 1945 75 m2 tot 100 m2</v>
      </c>
      <c r="I222" s="29">
        <f t="shared" si="34"/>
        <v>1670</v>
      </c>
      <c r="J222" s="29">
        <f t="shared" si="35"/>
        <v>2960</v>
      </c>
      <c r="K222" s="29">
        <f t="shared" si="36"/>
        <v>17500</v>
      </c>
      <c r="L222" s="90">
        <f t="shared" si="37"/>
        <v>1586.5</v>
      </c>
      <c r="M222" s="2">
        <v>0</v>
      </c>
      <c r="N222" s="2">
        <f t="shared" si="38"/>
        <v>83.5</v>
      </c>
      <c r="O222" s="90">
        <f t="shared" si="39"/>
        <v>2960</v>
      </c>
      <c r="P222" s="90">
        <f t="shared" si="40"/>
        <v>3694.8</v>
      </c>
    </row>
    <row r="223" spans="1:16" x14ac:dyDescent="0.3">
      <c r="A223" s="2" t="s">
        <v>62</v>
      </c>
      <c r="B223" s="2" t="s">
        <v>21</v>
      </c>
      <c r="C223" s="2" t="s">
        <v>22</v>
      </c>
      <c r="D223" s="1">
        <v>1870</v>
      </c>
      <c r="E223" s="1">
        <v>3370</v>
      </c>
      <c r="F223" s="2">
        <v>62500</v>
      </c>
      <c r="H223" s="11" t="str">
        <f t="shared" si="33"/>
        <v>Vrijstaande woning 1946 tot en met 1964 100 m2 tot 150 m2</v>
      </c>
      <c r="I223" s="29">
        <f t="shared" si="34"/>
        <v>1870</v>
      </c>
      <c r="J223" s="29">
        <f t="shared" si="35"/>
        <v>3370</v>
      </c>
      <c r="K223" s="29">
        <f t="shared" si="36"/>
        <v>62500</v>
      </c>
      <c r="L223" s="90">
        <f t="shared" si="37"/>
        <v>1776.5</v>
      </c>
      <c r="M223" s="2">
        <v>0</v>
      </c>
      <c r="N223" s="2">
        <f t="shared" si="38"/>
        <v>93.5</v>
      </c>
      <c r="O223" s="90">
        <f t="shared" si="39"/>
        <v>3370</v>
      </c>
      <c r="P223" s="90">
        <f t="shared" si="40"/>
        <v>4192.8</v>
      </c>
    </row>
    <row r="224" spans="1:16" x14ac:dyDescent="0.3">
      <c r="A224" s="2" t="s">
        <v>62</v>
      </c>
      <c r="B224" s="2" t="s">
        <v>21</v>
      </c>
      <c r="C224" s="2" t="s">
        <v>64</v>
      </c>
      <c r="D224" s="1">
        <v>2210</v>
      </c>
      <c r="E224" s="1">
        <v>4100</v>
      </c>
      <c r="F224" s="2">
        <v>37500</v>
      </c>
      <c r="H224" s="11" t="str">
        <f t="shared" si="33"/>
        <v>Vrijstaande woning 1946 tot en met 1964 150 m2 tot 250 m2</v>
      </c>
      <c r="I224" s="29">
        <f t="shared" si="34"/>
        <v>2210</v>
      </c>
      <c r="J224" s="29">
        <f t="shared" si="35"/>
        <v>4100</v>
      </c>
      <c r="K224" s="29">
        <f t="shared" si="36"/>
        <v>37500</v>
      </c>
      <c r="L224" s="90">
        <f t="shared" si="37"/>
        <v>2099.5</v>
      </c>
      <c r="M224" s="2">
        <v>0</v>
      </c>
      <c r="N224" s="2">
        <f t="shared" si="38"/>
        <v>110.5</v>
      </c>
      <c r="O224" s="90">
        <f t="shared" si="39"/>
        <v>4100</v>
      </c>
      <c r="P224" s="90">
        <f t="shared" si="40"/>
        <v>5072.3999999999996</v>
      </c>
    </row>
    <row r="225" spans="1:16" x14ac:dyDescent="0.3">
      <c r="A225" s="2" t="s">
        <v>62</v>
      </c>
      <c r="B225" s="2" t="s">
        <v>21</v>
      </c>
      <c r="C225" s="2" t="s">
        <v>58</v>
      </c>
      <c r="D225" s="1">
        <v>1550</v>
      </c>
      <c r="E225" s="1">
        <v>2950</v>
      </c>
      <c r="F225" s="2">
        <v>275</v>
      </c>
      <c r="H225" s="11" t="str">
        <f t="shared" si="33"/>
        <v>Vrijstaande woning 1946 tot en met 1964 2 m2 tot 50 m2</v>
      </c>
      <c r="I225" s="29">
        <f t="shared" si="34"/>
        <v>1550</v>
      </c>
      <c r="J225" s="29">
        <f t="shared" si="35"/>
        <v>2950</v>
      </c>
      <c r="K225" s="29">
        <f t="shared" si="36"/>
        <v>275</v>
      </c>
      <c r="L225" s="90">
        <f t="shared" si="37"/>
        <v>1472.5</v>
      </c>
      <c r="M225" s="2">
        <v>0</v>
      </c>
      <c r="N225" s="2">
        <f t="shared" si="38"/>
        <v>77.5</v>
      </c>
      <c r="O225" s="90">
        <f t="shared" si="39"/>
        <v>2950</v>
      </c>
      <c r="P225" s="90">
        <f t="shared" si="40"/>
        <v>3632</v>
      </c>
    </row>
    <row r="226" spans="1:16" x14ac:dyDescent="0.3">
      <c r="A226" s="2" t="s">
        <v>62</v>
      </c>
      <c r="B226" s="2" t="s">
        <v>21</v>
      </c>
      <c r="C226" s="2" t="s">
        <v>66</v>
      </c>
      <c r="D226" s="1">
        <v>2820</v>
      </c>
      <c r="E226" s="1">
        <v>5110</v>
      </c>
      <c r="F226" s="2">
        <v>17500</v>
      </c>
      <c r="H226" s="11" t="str">
        <f t="shared" si="33"/>
        <v>Vrijstaande woning 1946 tot en met 1964 250 m2 tot 10.000m2</v>
      </c>
      <c r="I226" s="29">
        <f t="shared" si="34"/>
        <v>2820</v>
      </c>
      <c r="J226" s="29">
        <f t="shared" si="35"/>
        <v>5110</v>
      </c>
      <c r="K226" s="29">
        <f t="shared" si="36"/>
        <v>17500</v>
      </c>
      <c r="L226" s="90">
        <f t="shared" si="37"/>
        <v>2679</v>
      </c>
      <c r="M226" s="2">
        <v>0</v>
      </c>
      <c r="N226" s="2">
        <f t="shared" si="38"/>
        <v>141</v>
      </c>
      <c r="O226" s="90">
        <f t="shared" si="39"/>
        <v>5110</v>
      </c>
      <c r="P226" s="90">
        <f t="shared" si="40"/>
        <v>6350.8</v>
      </c>
    </row>
    <row r="227" spans="1:16" x14ac:dyDescent="0.3">
      <c r="A227" s="2" t="s">
        <v>62</v>
      </c>
      <c r="B227" s="2" t="s">
        <v>21</v>
      </c>
      <c r="C227" s="2" t="s">
        <v>18</v>
      </c>
      <c r="D227" s="1">
        <v>1580</v>
      </c>
      <c r="E227" s="1">
        <v>2850</v>
      </c>
      <c r="F227" s="2">
        <v>3750</v>
      </c>
      <c r="H227" s="11" t="str">
        <f t="shared" si="33"/>
        <v>Vrijstaande woning 1946 tot en met 1964 50 m2 tot 75 m2</v>
      </c>
      <c r="I227" s="29">
        <f t="shared" si="34"/>
        <v>1580</v>
      </c>
      <c r="J227" s="29">
        <f t="shared" si="35"/>
        <v>2850</v>
      </c>
      <c r="K227" s="29">
        <f t="shared" si="36"/>
        <v>3750</v>
      </c>
      <c r="L227" s="90">
        <f t="shared" si="37"/>
        <v>1501</v>
      </c>
      <c r="M227" s="2">
        <v>0</v>
      </c>
      <c r="N227" s="2">
        <f t="shared" si="38"/>
        <v>79</v>
      </c>
      <c r="O227" s="90">
        <f t="shared" si="39"/>
        <v>2850</v>
      </c>
      <c r="P227" s="90">
        <f t="shared" si="40"/>
        <v>3545.2</v>
      </c>
    </row>
    <row r="228" spans="1:16" x14ac:dyDescent="0.3">
      <c r="A228" s="2" t="s">
        <v>62</v>
      </c>
      <c r="B228" s="2" t="s">
        <v>21</v>
      </c>
      <c r="C228" s="2" t="s">
        <v>60</v>
      </c>
      <c r="D228" s="1">
        <v>1690</v>
      </c>
      <c r="E228" s="1">
        <v>2920</v>
      </c>
      <c r="F228" s="2">
        <v>17500</v>
      </c>
      <c r="H228" s="11" t="str">
        <f t="shared" si="33"/>
        <v>Vrijstaande woning 1946 tot en met 1964 75 m2 tot 100 m2</v>
      </c>
      <c r="I228" s="29">
        <f t="shared" si="34"/>
        <v>1690</v>
      </c>
      <c r="J228" s="29">
        <f t="shared" si="35"/>
        <v>2920</v>
      </c>
      <c r="K228" s="29">
        <f t="shared" si="36"/>
        <v>17500</v>
      </c>
      <c r="L228" s="90">
        <f t="shared" si="37"/>
        <v>1605.5</v>
      </c>
      <c r="M228" s="2">
        <v>0</v>
      </c>
      <c r="N228" s="2">
        <f t="shared" si="38"/>
        <v>84.5</v>
      </c>
      <c r="O228" s="90">
        <f t="shared" si="39"/>
        <v>2920</v>
      </c>
      <c r="P228" s="90">
        <f t="shared" si="40"/>
        <v>3663.6</v>
      </c>
    </row>
    <row r="229" spans="1:16" x14ac:dyDescent="0.3">
      <c r="A229" s="2" t="s">
        <v>62</v>
      </c>
      <c r="B229" s="2" t="s">
        <v>17</v>
      </c>
      <c r="C229" s="2" t="s">
        <v>22</v>
      </c>
      <c r="D229" s="1">
        <v>1850</v>
      </c>
      <c r="E229" s="1">
        <v>3250</v>
      </c>
      <c r="F229" s="2">
        <v>37500</v>
      </c>
      <c r="H229" s="11" t="str">
        <f t="shared" si="33"/>
        <v>Vrijstaande woning 1965 tot en met 1974 100 m2 tot 150 m2</v>
      </c>
      <c r="I229" s="29">
        <f t="shared" si="34"/>
        <v>1850</v>
      </c>
      <c r="J229" s="29">
        <f t="shared" si="35"/>
        <v>3250</v>
      </c>
      <c r="K229" s="29">
        <f t="shared" si="36"/>
        <v>37500</v>
      </c>
      <c r="L229" s="90">
        <f t="shared" si="37"/>
        <v>1757.5</v>
      </c>
      <c r="M229" s="2">
        <v>0</v>
      </c>
      <c r="N229" s="2">
        <f t="shared" si="38"/>
        <v>92.5</v>
      </c>
      <c r="O229" s="90">
        <f t="shared" si="39"/>
        <v>3250</v>
      </c>
      <c r="P229" s="90">
        <f t="shared" si="40"/>
        <v>4064</v>
      </c>
    </row>
    <row r="230" spans="1:16" x14ac:dyDescent="0.3">
      <c r="A230" s="2" t="s">
        <v>62</v>
      </c>
      <c r="B230" s="2" t="s">
        <v>17</v>
      </c>
      <c r="C230" s="2" t="s">
        <v>64</v>
      </c>
      <c r="D230" s="1">
        <v>2200</v>
      </c>
      <c r="E230" s="1">
        <v>3870</v>
      </c>
      <c r="F230" s="2">
        <v>62500</v>
      </c>
      <c r="H230" s="11" t="str">
        <f t="shared" si="33"/>
        <v>Vrijstaande woning 1965 tot en met 1974 150 m2 tot 250 m2</v>
      </c>
      <c r="I230" s="29">
        <f t="shared" si="34"/>
        <v>2200</v>
      </c>
      <c r="J230" s="29">
        <f t="shared" si="35"/>
        <v>3870</v>
      </c>
      <c r="K230" s="29">
        <f t="shared" si="36"/>
        <v>62500</v>
      </c>
      <c r="L230" s="90">
        <f t="shared" si="37"/>
        <v>2090</v>
      </c>
      <c r="M230" s="2">
        <v>0</v>
      </c>
      <c r="N230" s="2">
        <f t="shared" si="38"/>
        <v>110</v>
      </c>
      <c r="O230" s="90">
        <f t="shared" si="39"/>
        <v>3870</v>
      </c>
      <c r="P230" s="90">
        <f t="shared" si="40"/>
        <v>4838</v>
      </c>
    </row>
    <row r="231" spans="1:16" x14ac:dyDescent="0.3">
      <c r="A231" s="2" t="s">
        <v>62</v>
      </c>
      <c r="B231" s="2" t="s">
        <v>17</v>
      </c>
      <c r="C231" s="2" t="s">
        <v>58</v>
      </c>
      <c r="D231" s="1">
        <v>1460</v>
      </c>
      <c r="E231" s="1">
        <v>2890</v>
      </c>
      <c r="F231" s="2">
        <v>275</v>
      </c>
      <c r="H231" s="11" t="str">
        <f t="shared" si="33"/>
        <v>Vrijstaande woning 1965 tot en met 1974 2 m2 tot 50 m2</v>
      </c>
      <c r="I231" s="29">
        <f t="shared" si="34"/>
        <v>1460</v>
      </c>
      <c r="J231" s="29">
        <f t="shared" si="35"/>
        <v>2890</v>
      </c>
      <c r="K231" s="29">
        <f t="shared" si="36"/>
        <v>275</v>
      </c>
      <c r="L231" s="90">
        <f t="shared" si="37"/>
        <v>1387</v>
      </c>
      <c r="M231" s="2">
        <v>0</v>
      </c>
      <c r="N231" s="2">
        <f t="shared" si="38"/>
        <v>73</v>
      </c>
      <c r="O231" s="90">
        <f t="shared" si="39"/>
        <v>2890</v>
      </c>
      <c r="P231" s="90">
        <f t="shared" si="40"/>
        <v>3532.4</v>
      </c>
    </row>
    <row r="232" spans="1:16" x14ac:dyDescent="0.3">
      <c r="A232" s="2" t="s">
        <v>62</v>
      </c>
      <c r="B232" s="2" t="s">
        <v>17</v>
      </c>
      <c r="C232" s="2" t="s">
        <v>66</v>
      </c>
      <c r="D232" s="1">
        <v>2950</v>
      </c>
      <c r="E232" s="1">
        <v>5070</v>
      </c>
      <c r="F232" s="2">
        <v>17500</v>
      </c>
      <c r="H232" s="11" t="str">
        <f t="shared" si="33"/>
        <v>Vrijstaande woning 1965 tot en met 1974 250 m2 tot 10.000m2</v>
      </c>
      <c r="I232" s="29">
        <f t="shared" si="34"/>
        <v>2950</v>
      </c>
      <c r="J232" s="29">
        <f t="shared" si="35"/>
        <v>5070</v>
      </c>
      <c r="K232" s="29">
        <f t="shared" si="36"/>
        <v>17500</v>
      </c>
      <c r="L232" s="90">
        <f t="shared" si="37"/>
        <v>2802.5</v>
      </c>
      <c r="M232" s="2">
        <v>0</v>
      </c>
      <c r="N232" s="2">
        <f t="shared" si="38"/>
        <v>147.5</v>
      </c>
      <c r="O232" s="90">
        <f t="shared" si="39"/>
        <v>5070</v>
      </c>
      <c r="P232" s="90">
        <f t="shared" si="40"/>
        <v>6368</v>
      </c>
    </row>
    <row r="233" spans="1:16" x14ac:dyDescent="0.3">
      <c r="A233" s="2" t="s">
        <v>62</v>
      </c>
      <c r="B233" s="2" t="s">
        <v>17</v>
      </c>
      <c r="C233" s="2" t="s">
        <v>18</v>
      </c>
      <c r="D233" s="1">
        <v>1510</v>
      </c>
      <c r="E233" s="1">
        <v>2830</v>
      </c>
      <c r="F233" s="2">
        <v>3750</v>
      </c>
      <c r="H233" s="11" t="str">
        <f t="shared" si="33"/>
        <v>Vrijstaande woning 1965 tot en met 1974 50 m2 tot 75 m2</v>
      </c>
      <c r="I233" s="29">
        <f t="shared" si="34"/>
        <v>1510</v>
      </c>
      <c r="J233" s="29">
        <f t="shared" si="35"/>
        <v>2830</v>
      </c>
      <c r="K233" s="29">
        <f t="shared" si="36"/>
        <v>3750</v>
      </c>
      <c r="L233" s="90">
        <f t="shared" si="37"/>
        <v>1434.5</v>
      </c>
      <c r="M233" s="2">
        <v>0</v>
      </c>
      <c r="N233" s="2">
        <f t="shared" si="38"/>
        <v>75.5</v>
      </c>
      <c r="O233" s="90">
        <f t="shared" si="39"/>
        <v>2830</v>
      </c>
      <c r="P233" s="90">
        <f t="shared" si="40"/>
        <v>3494.4</v>
      </c>
    </row>
    <row r="234" spans="1:16" x14ac:dyDescent="0.3">
      <c r="A234" s="2" t="s">
        <v>62</v>
      </c>
      <c r="B234" s="2" t="s">
        <v>17</v>
      </c>
      <c r="C234" s="2" t="s">
        <v>60</v>
      </c>
      <c r="D234" s="1">
        <v>1660</v>
      </c>
      <c r="E234" s="1">
        <v>2880</v>
      </c>
      <c r="F234" s="2">
        <v>3750</v>
      </c>
      <c r="H234" s="11" t="str">
        <f t="shared" si="33"/>
        <v>Vrijstaande woning 1965 tot en met 1974 75 m2 tot 100 m2</v>
      </c>
      <c r="I234" s="29">
        <f t="shared" si="34"/>
        <v>1660</v>
      </c>
      <c r="J234" s="29">
        <f t="shared" si="35"/>
        <v>2880</v>
      </c>
      <c r="K234" s="29">
        <f t="shared" si="36"/>
        <v>3750</v>
      </c>
      <c r="L234" s="90">
        <f t="shared" si="37"/>
        <v>1577</v>
      </c>
      <c r="M234" s="2">
        <v>0</v>
      </c>
      <c r="N234" s="2">
        <f t="shared" si="38"/>
        <v>83</v>
      </c>
      <c r="O234" s="90">
        <f t="shared" si="39"/>
        <v>2880</v>
      </c>
      <c r="P234" s="90">
        <f t="shared" si="40"/>
        <v>3610.4</v>
      </c>
    </row>
    <row r="235" spans="1:16" x14ac:dyDescent="0.3">
      <c r="A235" s="2" t="s">
        <v>62</v>
      </c>
      <c r="B235" s="2" t="s">
        <v>61</v>
      </c>
      <c r="C235" s="2" t="s">
        <v>22</v>
      </c>
      <c r="D235" s="1">
        <v>1700</v>
      </c>
      <c r="E235" s="1">
        <v>3290</v>
      </c>
      <c r="F235" s="2">
        <v>37500</v>
      </c>
      <c r="H235" s="11" t="str">
        <f t="shared" si="33"/>
        <v>Vrijstaande woning 1975 tot en met 1991 100 m2 tot 150 m2</v>
      </c>
      <c r="I235" s="29">
        <f t="shared" si="34"/>
        <v>1700</v>
      </c>
      <c r="J235" s="29">
        <f t="shared" si="35"/>
        <v>3290</v>
      </c>
      <c r="K235" s="29">
        <f t="shared" si="36"/>
        <v>37500</v>
      </c>
      <c r="L235" s="90">
        <f t="shared" si="37"/>
        <v>1615</v>
      </c>
      <c r="M235" s="2">
        <v>0</v>
      </c>
      <c r="N235" s="2">
        <f t="shared" si="38"/>
        <v>85</v>
      </c>
      <c r="O235" s="90">
        <f t="shared" si="39"/>
        <v>3290</v>
      </c>
      <c r="P235" s="90">
        <f t="shared" si="40"/>
        <v>4038</v>
      </c>
    </row>
    <row r="236" spans="1:16" x14ac:dyDescent="0.3">
      <c r="A236" s="2" t="s">
        <v>62</v>
      </c>
      <c r="B236" s="2" t="s">
        <v>61</v>
      </c>
      <c r="C236" s="2" t="s">
        <v>64</v>
      </c>
      <c r="D236" s="1">
        <v>2020</v>
      </c>
      <c r="E236" s="1">
        <v>3860</v>
      </c>
      <c r="F236" s="2">
        <v>175000</v>
      </c>
      <c r="H236" s="11" t="str">
        <f t="shared" si="33"/>
        <v>Vrijstaande woning 1975 tot en met 1991 150 m2 tot 250 m2</v>
      </c>
      <c r="I236" s="29">
        <f t="shared" si="34"/>
        <v>2020</v>
      </c>
      <c r="J236" s="29">
        <f t="shared" si="35"/>
        <v>3860</v>
      </c>
      <c r="K236" s="29">
        <f t="shared" si="36"/>
        <v>175000</v>
      </c>
      <c r="L236" s="90">
        <f t="shared" si="37"/>
        <v>1919</v>
      </c>
      <c r="M236" s="2">
        <v>0</v>
      </c>
      <c r="N236" s="2">
        <f t="shared" si="38"/>
        <v>101</v>
      </c>
      <c r="O236" s="90">
        <f t="shared" si="39"/>
        <v>3860</v>
      </c>
      <c r="P236" s="90">
        <f t="shared" si="40"/>
        <v>4748.8</v>
      </c>
    </row>
    <row r="237" spans="1:16" x14ac:dyDescent="0.3">
      <c r="A237" s="2" t="s">
        <v>62</v>
      </c>
      <c r="B237" s="2" t="s">
        <v>61</v>
      </c>
      <c r="C237" s="2" t="s">
        <v>58</v>
      </c>
      <c r="D237" s="1">
        <v>1490</v>
      </c>
      <c r="E237" s="1">
        <v>2950</v>
      </c>
      <c r="F237" s="2">
        <v>750</v>
      </c>
      <c r="H237" s="11" t="str">
        <f t="shared" si="33"/>
        <v>Vrijstaande woning 1975 tot en met 1991 2 m2 tot 50 m2</v>
      </c>
      <c r="I237" s="29">
        <f t="shared" si="34"/>
        <v>1490</v>
      </c>
      <c r="J237" s="29">
        <f t="shared" si="35"/>
        <v>2950</v>
      </c>
      <c r="K237" s="29">
        <f t="shared" si="36"/>
        <v>750</v>
      </c>
      <c r="L237" s="90">
        <f t="shared" si="37"/>
        <v>1415.5</v>
      </c>
      <c r="M237" s="2">
        <v>0</v>
      </c>
      <c r="N237" s="2">
        <f t="shared" si="38"/>
        <v>74.5</v>
      </c>
      <c r="O237" s="90">
        <f t="shared" si="39"/>
        <v>2950</v>
      </c>
      <c r="P237" s="90">
        <f t="shared" si="40"/>
        <v>3605.6</v>
      </c>
    </row>
    <row r="238" spans="1:16" x14ac:dyDescent="0.3">
      <c r="A238" s="2" t="s">
        <v>62</v>
      </c>
      <c r="B238" s="2" t="s">
        <v>61</v>
      </c>
      <c r="C238" s="2" t="s">
        <v>66</v>
      </c>
      <c r="D238" s="1">
        <v>2740</v>
      </c>
      <c r="E238" s="1">
        <v>5040</v>
      </c>
      <c r="F238" s="2">
        <v>37500</v>
      </c>
      <c r="H238" s="11" t="str">
        <f t="shared" si="33"/>
        <v>Vrijstaande woning 1975 tot en met 1991 250 m2 tot 10.000m2</v>
      </c>
      <c r="I238" s="29">
        <f t="shared" si="34"/>
        <v>2740</v>
      </c>
      <c r="J238" s="29">
        <f t="shared" si="35"/>
        <v>5040</v>
      </c>
      <c r="K238" s="29">
        <f t="shared" si="36"/>
        <v>37500</v>
      </c>
      <c r="L238" s="90">
        <f t="shared" si="37"/>
        <v>2603</v>
      </c>
      <c r="M238" s="2">
        <v>0</v>
      </c>
      <c r="N238" s="2">
        <f t="shared" si="38"/>
        <v>137</v>
      </c>
      <c r="O238" s="90">
        <f t="shared" si="39"/>
        <v>5040</v>
      </c>
      <c r="P238" s="90">
        <f t="shared" si="40"/>
        <v>6245.6</v>
      </c>
    </row>
    <row r="239" spans="1:16" x14ac:dyDescent="0.3">
      <c r="A239" s="2" t="s">
        <v>62</v>
      </c>
      <c r="B239" s="2" t="s">
        <v>61</v>
      </c>
      <c r="C239" s="2" t="s">
        <v>18</v>
      </c>
      <c r="D239" s="1">
        <v>1380</v>
      </c>
      <c r="E239" s="1">
        <v>2820</v>
      </c>
      <c r="F239" s="2">
        <v>3750</v>
      </c>
      <c r="H239" s="11" t="str">
        <f t="shared" si="33"/>
        <v>Vrijstaande woning 1975 tot en met 1991 50 m2 tot 75 m2</v>
      </c>
      <c r="I239" s="29">
        <f t="shared" si="34"/>
        <v>1380</v>
      </c>
      <c r="J239" s="29">
        <f t="shared" si="35"/>
        <v>2820</v>
      </c>
      <c r="K239" s="29">
        <f t="shared" si="36"/>
        <v>3750</v>
      </c>
      <c r="L239" s="90">
        <f t="shared" si="37"/>
        <v>1311</v>
      </c>
      <c r="M239" s="2">
        <v>0</v>
      </c>
      <c r="N239" s="2">
        <f t="shared" si="38"/>
        <v>69</v>
      </c>
      <c r="O239" s="90">
        <f t="shared" si="39"/>
        <v>2820</v>
      </c>
      <c r="P239" s="90">
        <f t="shared" si="40"/>
        <v>3427.2</v>
      </c>
    </row>
    <row r="240" spans="1:16" x14ac:dyDescent="0.3">
      <c r="A240" s="2" t="s">
        <v>62</v>
      </c>
      <c r="B240" s="2" t="s">
        <v>61</v>
      </c>
      <c r="C240" s="2" t="s">
        <v>60</v>
      </c>
      <c r="D240" s="1">
        <v>1520</v>
      </c>
      <c r="E240" s="1">
        <v>3070</v>
      </c>
      <c r="F240" s="2">
        <v>3750</v>
      </c>
      <c r="H240" s="11" t="str">
        <f t="shared" si="33"/>
        <v>Vrijstaande woning 1975 tot en met 1991 75 m2 tot 100 m2</v>
      </c>
      <c r="I240" s="29">
        <f t="shared" si="34"/>
        <v>1520</v>
      </c>
      <c r="J240" s="29">
        <f t="shared" si="35"/>
        <v>3070</v>
      </c>
      <c r="K240" s="29">
        <f t="shared" si="36"/>
        <v>3750</v>
      </c>
      <c r="L240" s="90">
        <f t="shared" si="37"/>
        <v>1444</v>
      </c>
      <c r="M240" s="2">
        <v>0</v>
      </c>
      <c r="N240" s="2">
        <f t="shared" si="38"/>
        <v>76</v>
      </c>
      <c r="O240" s="90">
        <f t="shared" si="39"/>
        <v>3070</v>
      </c>
      <c r="P240" s="90">
        <f t="shared" si="40"/>
        <v>3738.8</v>
      </c>
    </row>
    <row r="241" spans="1:16" x14ac:dyDescent="0.3">
      <c r="A241" s="2" t="s">
        <v>62</v>
      </c>
      <c r="B241" s="2" t="s">
        <v>63</v>
      </c>
      <c r="C241" s="2" t="s">
        <v>22</v>
      </c>
      <c r="D241" s="1">
        <v>1500</v>
      </c>
      <c r="E241" s="1">
        <v>3350</v>
      </c>
      <c r="F241" s="2">
        <v>17500</v>
      </c>
      <c r="H241" s="11" t="str">
        <f t="shared" si="33"/>
        <v>Vrijstaande woning 1992 tot en met 1999 100 m2 tot 150 m2</v>
      </c>
      <c r="I241" s="29">
        <f t="shared" si="34"/>
        <v>1500</v>
      </c>
      <c r="J241" s="29">
        <f t="shared" si="35"/>
        <v>3350</v>
      </c>
      <c r="K241" s="29">
        <f t="shared" si="36"/>
        <v>17500</v>
      </c>
      <c r="L241" s="90">
        <f t="shared" si="37"/>
        <v>1425</v>
      </c>
      <c r="M241" s="2">
        <v>0</v>
      </c>
      <c r="N241" s="2">
        <f t="shared" si="38"/>
        <v>75</v>
      </c>
      <c r="O241" s="90">
        <f t="shared" si="39"/>
        <v>3350</v>
      </c>
      <c r="P241" s="90">
        <f t="shared" si="40"/>
        <v>4010</v>
      </c>
    </row>
    <row r="242" spans="1:16" x14ac:dyDescent="0.3">
      <c r="A242" s="2" t="s">
        <v>62</v>
      </c>
      <c r="B242" s="2" t="s">
        <v>63</v>
      </c>
      <c r="C242" s="2" t="s">
        <v>64</v>
      </c>
      <c r="D242" s="1">
        <v>1790</v>
      </c>
      <c r="E242" s="1">
        <v>4030</v>
      </c>
      <c r="F242" s="2">
        <v>62500</v>
      </c>
      <c r="H242" s="11" t="str">
        <f t="shared" si="33"/>
        <v>Vrijstaande woning 1992 tot en met 1999 150 m2 tot 250 m2</v>
      </c>
      <c r="I242" s="29">
        <f t="shared" si="34"/>
        <v>1790</v>
      </c>
      <c r="J242" s="29">
        <f t="shared" si="35"/>
        <v>4030</v>
      </c>
      <c r="K242" s="29">
        <f t="shared" si="36"/>
        <v>62500</v>
      </c>
      <c r="L242" s="90">
        <f t="shared" si="37"/>
        <v>1700.5</v>
      </c>
      <c r="M242" s="2">
        <v>0</v>
      </c>
      <c r="N242" s="2">
        <f t="shared" si="38"/>
        <v>89.5</v>
      </c>
      <c r="O242" s="90">
        <f t="shared" si="39"/>
        <v>4030</v>
      </c>
      <c r="P242" s="90">
        <f t="shared" si="40"/>
        <v>4817.6000000000004</v>
      </c>
    </row>
    <row r="243" spans="1:16" x14ac:dyDescent="0.3">
      <c r="A243" s="2" t="s">
        <v>62</v>
      </c>
      <c r="B243" s="2" t="s">
        <v>63</v>
      </c>
      <c r="C243" s="2" t="s">
        <v>58</v>
      </c>
      <c r="D243" s="1">
        <v>1570</v>
      </c>
      <c r="E243" s="1">
        <v>3510</v>
      </c>
      <c r="F243" s="2">
        <v>275</v>
      </c>
      <c r="H243" s="11" t="str">
        <f t="shared" si="33"/>
        <v>Vrijstaande woning 1992 tot en met 1999 2 m2 tot 50 m2</v>
      </c>
      <c r="I243" s="29">
        <f t="shared" si="34"/>
        <v>1570</v>
      </c>
      <c r="J243" s="29">
        <f t="shared" si="35"/>
        <v>3510</v>
      </c>
      <c r="K243" s="29">
        <f t="shared" si="36"/>
        <v>275</v>
      </c>
      <c r="L243" s="90">
        <f t="shared" si="37"/>
        <v>1491.5</v>
      </c>
      <c r="M243" s="2">
        <v>0</v>
      </c>
      <c r="N243" s="2">
        <f t="shared" si="38"/>
        <v>78.5</v>
      </c>
      <c r="O243" s="90">
        <f t="shared" si="39"/>
        <v>3510</v>
      </c>
      <c r="P243" s="90">
        <f t="shared" si="40"/>
        <v>4200.8</v>
      </c>
    </row>
    <row r="244" spans="1:16" x14ac:dyDescent="0.3">
      <c r="A244" s="2" t="s">
        <v>62</v>
      </c>
      <c r="B244" s="2" t="s">
        <v>63</v>
      </c>
      <c r="C244" s="2" t="s">
        <v>66</v>
      </c>
      <c r="D244" s="1">
        <v>2470</v>
      </c>
      <c r="E244" s="1">
        <v>5230</v>
      </c>
      <c r="F244" s="2">
        <v>17500</v>
      </c>
      <c r="H244" s="11" t="str">
        <f t="shared" si="33"/>
        <v>Vrijstaande woning 1992 tot en met 1999 250 m2 tot 10.000m2</v>
      </c>
      <c r="I244" s="29">
        <f t="shared" si="34"/>
        <v>2470</v>
      </c>
      <c r="J244" s="29">
        <f t="shared" si="35"/>
        <v>5230</v>
      </c>
      <c r="K244" s="29">
        <f t="shared" si="36"/>
        <v>17500</v>
      </c>
      <c r="L244" s="90">
        <f t="shared" si="37"/>
        <v>2346.5</v>
      </c>
      <c r="M244" s="2">
        <v>0</v>
      </c>
      <c r="N244" s="2">
        <f t="shared" si="38"/>
        <v>123.5</v>
      </c>
      <c r="O244" s="90">
        <f t="shared" si="39"/>
        <v>5230</v>
      </c>
      <c r="P244" s="90">
        <f t="shared" si="40"/>
        <v>6316.8</v>
      </c>
    </row>
    <row r="245" spans="1:16" x14ac:dyDescent="0.3">
      <c r="A245" s="2" t="s">
        <v>62</v>
      </c>
      <c r="B245" s="2" t="s">
        <v>63</v>
      </c>
      <c r="C245" s="2" t="s">
        <v>18</v>
      </c>
      <c r="D245" s="1">
        <v>1250</v>
      </c>
      <c r="E245" s="1">
        <v>2890</v>
      </c>
      <c r="F245" s="2">
        <v>750</v>
      </c>
      <c r="H245" s="11" t="str">
        <f t="shared" si="33"/>
        <v>Vrijstaande woning 1992 tot en met 1999 50 m2 tot 75 m2</v>
      </c>
      <c r="I245" s="29">
        <f t="shared" si="34"/>
        <v>1250</v>
      </c>
      <c r="J245" s="29">
        <f t="shared" si="35"/>
        <v>2890</v>
      </c>
      <c r="K245" s="29">
        <f t="shared" si="36"/>
        <v>750</v>
      </c>
      <c r="L245" s="90">
        <f t="shared" si="37"/>
        <v>1187.5</v>
      </c>
      <c r="M245" s="2">
        <v>0</v>
      </c>
      <c r="N245" s="2">
        <f t="shared" si="38"/>
        <v>62.5</v>
      </c>
      <c r="O245" s="90">
        <f t="shared" si="39"/>
        <v>2890</v>
      </c>
      <c r="P245" s="90">
        <f t="shared" si="40"/>
        <v>3440</v>
      </c>
    </row>
    <row r="246" spans="1:16" x14ac:dyDescent="0.3">
      <c r="A246" s="2" t="s">
        <v>62</v>
      </c>
      <c r="B246" s="2" t="s">
        <v>63</v>
      </c>
      <c r="C246" s="2" t="s">
        <v>60</v>
      </c>
      <c r="D246" s="1">
        <v>1360</v>
      </c>
      <c r="E246" s="1">
        <v>3100</v>
      </c>
      <c r="F246" s="2">
        <v>3750</v>
      </c>
      <c r="H246" s="11" t="str">
        <f t="shared" si="33"/>
        <v>Vrijstaande woning 1992 tot en met 1999 75 m2 tot 100 m2</v>
      </c>
      <c r="I246" s="29">
        <f t="shared" si="34"/>
        <v>1360</v>
      </c>
      <c r="J246" s="29">
        <f t="shared" si="35"/>
        <v>3100</v>
      </c>
      <c r="K246" s="29">
        <f t="shared" si="36"/>
        <v>3750</v>
      </c>
      <c r="L246" s="90">
        <f t="shared" si="37"/>
        <v>1292</v>
      </c>
      <c r="M246" s="2">
        <v>0</v>
      </c>
      <c r="N246" s="2">
        <f t="shared" si="38"/>
        <v>68</v>
      </c>
      <c r="O246" s="90">
        <f t="shared" si="39"/>
        <v>3100</v>
      </c>
      <c r="P246" s="90">
        <f t="shared" si="40"/>
        <v>3698.4</v>
      </c>
    </row>
    <row r="247" spans="1:16" x14ac:dyDescent="0.3">
      <c r="A247" s="2" t="s">
        <v>62</v>
      </c>
      <c r="B247" s="2" t="s">
        <v>65</v>
      </c>
      <c r="C247" s="2" t="s">
        <v>22</v>
      </c>
      <c r="D247" s="1">
        <v>1440</v>
      </c>
      <c r="E247" s="1">
        <v>3650</v>
      </c>
      <c r="F247" s="2">
        <v>7500</v>
      </c>
      <c r="H247" s="11" t="str">
        <f t="shared" si="33"/>
        <v>Vrijstaande woning 2000 tot en met 2005 100 m2 tot 150 m2</v>
      </c>
      <c r="I247" s="29">
        <f t="shared" si="34"/>
        <v>1440</v>
      </c>
      <c r="J247" s="29">
        <f t="shared" si="35"/>
        <v>3650</v>
      </c>
      <c r="K247" s="29">
        <f t="shared" si="36"/>
        <v>7500</v>
      </c>
      <c r="L247" s="90">
        <f t="shared" si="37"/>
        <v>1368</v>
      </c>
      <c r="M247" s="2">
        <v>0</v>
      </c>
      <c r="N247" s="2">
        <f t="shared" si="38"/>
        <v>72</v>
      </c>
      <c r="O247" s="90">
        <f t="shared" si="39"/>
        <v>3650</v>
      </c>
      <c r="P247" s="90">
        <f t="shared" si="40"/>
        <v>4283.6000000000004</v>
      </c>
    </row>
    <row r="248" spans="1:16" x14ac:dyDescent="0.3">
      <c r="A248" s="2" t="s">
        <v>62</v>
      </c>
      <c r="B248" s="2" t="s">
        <v>65</v>
      </c>
      <c r="C248" s="2" t="s">
        <v>64</v>
      </c>
      <c r="D248" s="1">
        <v>1720</v>
      </c>
      <c r="E248" s="1">
        <v>4340</v>
      </c>
      <c r="F248" s="2">
        <v>37500</v>
      </c>
      <c r="H248" s="11" t="str">
        <f t="shared" si="33"/>
        <v>Vrijstaande woning 2000 tot en met 2005 150 m2 tot 250 m2</v>
      </c>
      <c r="I248" s="29">
        <f t="shared" si="34"/>
        <v>1720</v>
      </c>
      <c r="J248" s="29">
        <f t="shared" si="35"/>
        <v>4340</v>
      </c>
      <c r="K248" s="29">
        <f t="shared" si="36"/>
        <v>37500</v>
      </c>
      <c r="L248" s="90">
        <f t="shared" si="37"/>
        <v>1634</v>
      </c>
      <c r="M248" s="2">
        <v>0</v>
      </c>
      <c r="N248" s="2">
        <f t="shared" si="38"/>
        <v>86</v>
      </c>
      <c r="O248" s="90">
        <f t="shared" si="39"/>
        <v>4340</v>
      </c>
      <c r="P248" s="90">
        <f t="shared" si="40"/>
        <v>5096.8</v>
      </c>
    </row>
    <row r="249" spans="1:16" x14ac:dyDescent="0.3">
      <c r="A249" s="2" t="s">
        <v>62</v>
      </c>
      <c r="B249" s="2" t="s">
        <v>65</v>
      </c>
      <c r="C249" s="2" t="s">
        <v>58</v>
      </c>
      <c r="D249" s="1">
        <v>1640</v>
      </c>
      <c r="E249" s="1">
        <v>3600</v>
      </c>
      <c r="F249" s="2">
        <v>275</v>
      </c>
      <c r="H249" s="11" t="str">
        <f t="shared" si="33"/>
        <v>Vrijstaande woning 2000 tot en met 2005 2 m2 tot 50 m2</v>
      </c>
      <c r="I249" s="29">
        <f t="shared" si="34"/>
        <v>1640</v>
      </c>
      <c r="J249" s="29">
        <f t="shared" si="35"/>
        <v>3600</v>
      </c>
      <c r="K249" s="29">
        <f t="shared" si="36"/>
        <v>275</v>
      </c>
      <c r="L249" s="90">
        <f t="shared" si="37"/>
        <v>1558</v>
      </c>
      <c r="M249" s="2">
        <v>0</v>
      </c>
      <c r="N249" s="2">
        <f t="shared" si="38"/>
        <v>82</v>
      </c>
      <c r="O249" s="90">
        <f t="shared" si="39"/>
        <v>3600</v>
      </c>
      <c r="P249" s="90">
        <f t="shared" si="40"/>
        <v>4321.6000000000004</v>
      </c>
    </row>
    <row r="250" spans="1:16" x14ac:dyDescent="0.3">
      <c r="A250" s="2" t="s">
        <v>62</v>
      </c>
      <c r="B250" s="2" t="s">
        <v>65</v>
      </c>
      <c r="C250" s="2" t="s">
        <v>66</v>
      </c>
      <c r="D250" s="1">
        <v>2370</v>
      </c>
      <c r="E250" s="1">
        <v>5490</v>
      </c>
      <c r="F250" s="2">
        <v>17500</v>
      </c>
      <c r="H250" s="11" t="str">
        <f t="shared" si="33"/>
        <v>Vrijstaande woning 2000 tot en met 2005 250 m2 tot 10.000m2</v>
      </c>
      <c r="I250" s="29">
        <f t="shared" si="34"/>
        <v>2370</v>
      </c>
      <c r="J250" s="29">
        <f t="shared" si="35"/>
        <v>5490</v>
      </c>
      <c r="K250" s="29">
        <f t="shared" si="36"/>
        <v>17500</v>
      </c>
      <c r="L250" s="90">
        <f t="shared" si="37"/>
        <v>2251.5</v>
      </c>
      <c r="M250" s="2">
        <v>0</v>
      </c>
      <c r="N250" s="2">
        <f t="shared" si="38"/>
        <v>118.5</v>
      </c>
      <c r="O250" s="90">
        <f t="shared" si="39"/>
        <v>5490</v>
      </c>
      <c r="P250" s="90">
        <f t="shared" si="40"/>
        <v>6532.8</v>
      </c>
    </row>
    <row r="251" spans="1:16" x14ac:dyDescent="0.3">
      <c r="A251" s="2" t="s">
        <v>62</v>
      </c>
      <c r="B251" s="2" t="s">
        <v>65</v>
      </c>
      <c r="C251" s="2" t="s">
        <v>18</v>
      </c>
      <c r="D251" s="1">
        <v>1270</v>
      </c>
      <c r="E251" s="1">
        <v>3080</v>
      </c>
      <c r="F251" s="2">
        <v>275</v>
      </c>
      <c r="H251" s="11" t="str">
        <f t="shared" si="33"/>
        <v>Vrijstaande woning 2000 tot en met 2005 50 m2 tot 75 m2</v>
      </c>
      <c r="I251" s="29">
        <f t="shared" si="34"/>
        <v>1270</v>
      </c>
      <c r="J251" s="29">
        <f t="shared" si="35"/>
        <v>3080</v>
      </c>
      <c r="K251" s="29">
        <f t="shared" si="36"/>
        <v>275</v>
      </c>
      <c r="L251" s="90">
        <f t="shared" si="37"/>
        <v>1206.5</v>
      </c>
      <c r="M251" s="2">
        <v>0</v>
      </c>
      <c r="N251" s="2">
        <f t="shared" si="38"/>
        <v>63.5</v>
      </c>
      <c r="O251" s="90">
        <f t="shared" si="39"/>
        <v>3080</v>
      </c>
      <c r="P251" s="90">
        <f t="shared" si="40"/>
        <v>3638.8</v>
      </c>
    </row>
    <row r="252" spans="1:16" x14ac:dyDescent="0.3">
      <c r="A252" s="2" t="s">
        <v>62</v>
      </c>
      <c r="B252" s="2" t="s">
        <v>65</v>
      </c>
      <c r="C252" s="2" t="s">
        <v>60</v>
      </c>
      <c r="D252" s="1">
        <v>1350</v>
      </c>
      <c r="E252" s="1">
        <v>3340</v>
      </c>
      <c r="F252" s="2">
        <v>750</v>
      </c>
      <c r="H252" s="11" t="str">
        <f t="shared" si="33"/>
        <v>Vrijstaande woning 2000 tot en met 2005 75 m2 tot 100 m2</v>
      </c>
      <c r="I252" s="29">
        <f t="shared" si="34"/>
        <v>1350</v>
      </c>
      <c r="J252" s="29">
        <f t="shared" si="35"/>
        <v>3340</v>
      </c>
      <c r="K252" s="29">
        <f t="shared" si="36"/>
        <v>750</v>
      </c>
      <c r="L252" s="90">
        <f t="shared" si="37"/>
        <v>1282.5</v>
      </c>
      <c r="M252" s="2">
        <v>0</v>
      </c>
      <c r="N252" s="2">
        <f t="shared" si="38"/>
        <v>67.5</v>
      </c>
      <c r="O252" s="90">
        <f t="shared" si="39"/>
        <v>3340</v>
      </c>
      <c r="P252" s="90">
        <f t="shared" si="40"/>
        <v>3934</v>
      </c>
    </row>
    <row r="253" spans="1:16" x14ac:dyDescent="0.3">
      <c r="A253" s="2" t="s">
        <v>62</v>
      </c>
      <c r="B253" s="2" t="s">
        <v>67</v>
      </c>
      <c r="C253" s="2" t="s">
        <v>22</v>
      </c>
      <c r="D253" s="1">
        <v>1470</v>
      </c>
      <c r="E253" s="1">
        <v>3930</v>
      </c>
      <c r="F253" s="2">
        <v>3750</v>
      </c>
      <c r="H253" s="11" t="str">
        <f t="shared" si="33"/>
        <v>Vrijstaande woning 2006 tot en met 2012 100 m2 tot 150 m2</v>
      </c>
      <c r="I253" s="29">
        <f t="shared" si="34"/>
        <v>1470</v>
      </c>
      <c r="J253" s="29">
        <f t="shared" si="35"/>
        <v>3930</v>
      </c>
      <c r="K253" s="29">
        <f t="shared" si="36"/>
        <v>3750</v>
      </c>
      <c r="L253" s="90">
        <f t="shared" si="37"/>
        <v>1396.5</v>
      </c>
      <c r="M253" s="2">
        <v>0</v>
      </c>
      <c r="N253" s="2">
        <f t="shared" si="38"/>
        <v>73.5</v>
      </c>
      <c r="O253" s="90">
        <f t="shared" si="39"/>
        <v>3930</v>
      </c>
      <c r="P253" s="90">
        <f t="shared" si="40"/>
        <v>4576.8</v>
      </c>
    </row>
    <row r="254" spans="1:16" x14ac:dyDescent="0.3">
      <c r="A254" s="2" t="s">
        <v>62</v>
      </c>
      <c r="B254" s="2" t="s">
        <v>67</v>
      </c>
      <c r="C254" s="2" t="s">
        <v>64</v>
      </c>
      <c r="D254" s="1">
        <v>1680</v>
      </c>
      <c r="E254" s="1">
        <v>4550</v>
      </c>
      <c r="F254" s="2">
        <v>37500</v>
      </c>
      <c r="H254" s="11" t="str">
        <f t="shared" si="33"/>
        <v>Vrijstaande woning 2006 tot en met 2012 150 m2 tot 250 m2</v>
      </c>
      <c r="I254" s="29">
        <f t="shared" si="34"/>
        <v>1680</v>
      </c>
      <c r="J254" s="29">
        <f t="shared" si="35"/>
        <v>4550</v>
      </c>
      <c r="K254" s="29">
        <f t="shared" si="36"/>
        <v>37500</v>
      </c>
      <c r="L254" s="90">
        <f t="shared" si="37"/>
        <v>1596</v>
      </c>
      <c r="M254" s="2">
        <v>0</v>
      </c>
      <c r="N254" s="2">
        <f t="shared" si="38"/>
        <v>84</v>
      </c>
      <c r="O254" s="90">
        <f t="shared" si="39"/>
        <v>4550</v>
      </c>
      <c r="P254" s="90">
        <f t="shared" si="40"/>
        <v>5289.2</v>
      </c>
    </row>
    <row r="255" spans="1:16" x14ac:dyDescent="0.3">
      <c r="A255" s="2" t="s">
        <v>62</v>
      </c>
      <c r="B255" s="2" t="s">
        <v>67</v>
      </c>
      <c r="C255" s="2" t="s">
        <v>58</v>
      </c>
      <c r="D255" s="1">
        <v>1610</v>
      </c>
      <c r="E255" s="1">
        <v>3660</v>
      </c>
      <c r="F255" s="2">
        <v>275</v>
      </c>
      <c r="H255" s="11" t="str">
        <f t="shared" si="33"/>
        <v>Vrijstaande woning 2006 tot en met 2012 2 m2 tot 50 m2</v>
      </c>
      <c r="I255" s="29">
        <f t="shared" si="34"/>
        <v>1610</v>
      </c>
      <c r="J255" s="29">
        <f t="shared" si="35"/>
        <v>3660</v>
      </c>
      <c r="K255" s="29">
        <f t="shared" si="36"/>
        <v>275</v>
      </c>
      <c r="L255" s="90">
        <f t="shared" si="37"/>
        <v>1529.5</v>
      </c>
      <c r="M255" s="2">
        <v>0</v>
      </c>
      <c r="N255" s="2">
        <f t="shared" si="38"/>
        <v>80.5</v>
      </c>
      <c r="O255" s="90">
        <f t="shared" si="39"/>
        <v>3660</v>
      </c>
      <c r="P255" s="90">
        <f t="shared" si="40"/>
        <v>4368.3999999999996</v>
      </c>
    </row>
    <row r="256" spans="1:16" x14ac:dyDescent="0.3">
      <c r="A256" s="2" t="s">
        <v>62</v>
      </c>
      <c r="B256" s="2" t="s">
        <v>67</v>
      </c>
      <c r="C256" s="2" t="s">
        <v>66</v>
      </c>
      <c r="D256" s="1">
        <v>2160</v>
      </c>
      <c r="E256" s="1">
        <v>5640</v>
      </c>
      <c r="F256" s="2">
        <v>17500</v>
      </c>
      <c r="H256" s="11" t="str">
        <f t="shared" si="33"/>
        <v>Vrijstaande woning 2006 tot en met 2012 250 m2 tot 10.000m2</v>
      </c>
      <c r="I256" s="29">
        <f t="shared" si="34"/>
        <v>2160</v>
      </c>
      <c r="J256" s="29">
        <f t="shared" si="35"/>
        <v>5640</v>
      </c>
      <c r="K256" s="29">
        <f t="shared" si="36"/>
        <v>17500</v>
      </c>
      <c r="L256" s="90">
        <f t="shared" si="37"/>
        <v>2052</v>
      </c>
      <c r="M256" s="2">
        <v>0</v>
      </c>
      <c r="N256" s="2">
        <f t="shared" si="38"/>
        <v>108</v>
      </c>
      <c r="O256" s="90">
        <f t="shared" si="39"/>
        <v>5640</v>
      </c>
      <c r="P256" s="90">
        <f t="shared" si="40"/>
        <v>6590.4</v>
      </c>
    </row>
    <row r="257" spans="1:16" x14ac:dyDescent="0.3">
      <c r="A257" s="2" t="s">
        <v>62</v>
      </c>
      <c r="B257" s="2" t="s">
        <v>67</v>
      </c>
      <c r="C257" s="2" t="s">
        <v>18</v>
      </c>
      <c r="D257" s="1">
        <v>1370</v>
      </c>
      <c r="E257" s="1">
        <v>3310</v>
      </c>
      <c r="F257" s="2">
        <v>275</v>
      </c>
      <c r="H257" s="11" t="str">
        <f t="shared" si="33"/>
        <v>Vrijstaande woning 2006 tot en met 2012 50 m2 tot 75 m2</v>
      </c>
      <c r="I257" s="29">
        <f t="shared" si="34"/>
        <v>1370</v>
      </c>
      <c r="J257" s="29">
        <f t="shared" si="35"/>
        <v>3310</v>
      </c>
      <c r="K257" s="29">
        <f t="shared" si="36"/>
        <v>275</v>
      </c>
      <c r="L257" s="90">
        <f t="shared" si="37"/>
        <v>1301.5</v>
      </c>
      <c r="M257" s="2">
        <v>0</v>
      </c>
      <c r="N257" s="2">
        <f t="shared" si="38"/>
        <v>68.5</v>
      </c>
      <c r="O257" s="90">
        <f t="shared" si="39"/>
        <v>3310</v>
      </c>
      <c r="P257" s="90">
        <f t="shared" si="40"/>
        <v>3912.8</v>
      </c>
    </row>
    <row r="258" spans="1:16" x14ac:dyDescent="0.3">
      <c r="A258" s="2" t="s">
        <v>62</v>
      </c>
      <c r="B258" s="2" t="s">
        <v>67</v>
      </c>
      <c r="C258" s="2" t="s">
        <v>60</v>
      </c>
      <c r="D258" s="1">
        <v>1410</v>
      </c>
      <c r="E258" s="1">
        <v>3660</v>
      </c>
      <c r="F258" s="2">
        <v>750</v>
      </c>
      <c r="H258" s="11" t="str">
        <f t="shared" si="33"/>
        <v>Vrijstaande woning 2006 tot en met 2012 75 m2 tot 100 m2</v>
      </c>
      <c r="I258" s="29">
        <f t="shared" si="34"/>
        <v>1410</v>
      </c>
      <c r="J258" s="29">
        <f t="shared" si="35"/>
        <v>3660</v>
      </c>
      <c r="K258" s="29">
        <f t="shared" si="36"/>
        <v>750</v>
      </c>
      <c r="L258" s="90">
        <f t="shared" si="37"/>
        <v>1339.5</v>
      </c>
      <c r="M258" s="2">
        <v>0</v>
      </c>
      <c r="N258" s="2">
        <f t="shared" si="38"/>
        <v>70.5</v>
      </c>
      <c r="O258" s="90">
        <f t="shared" si="39"/>
        <v>3660</v>
      </c>
      <c r="P258" s="90">
        <f t="shared" si="40"/>
        <v>4280.3999999999996</v>
      </c>
    </row>
    <row r="259" spans="1:16" x14ac:dyDescent="0.3">
      <c r="A259" s="2" t="s">
        <v>62</v>
      </c>
      <c r="B259" s="2" t="s">
        <v>68</v>
      </c>
      <c r="C259" s="2" t="s">
        <v>22</v>
      </c>
      <c r="D259" s="1">
        <v>1160</v>
      </c>
      <c r="E259" s="1">
        <v>3360</v>
      </c>
      <c r="F259" s="2">
        <v>3750</v>
      </c>
      <c r="H259" s="11" t="str">
        <f t="shared" si="33"/>
        <v>Vrijstaande woning vanaf 2013 100 m2 tot 150 m2</v>
      </c>
      <c r="I259" s="29">
        <f t="shared" si="34"/>
        <v>1160</v>
      </c>
      <c r="J259" s="29">
        <f t="shared" si="35"/>
        <v>3360</v>
      </c>
      <c r="K259" s="29">
        <f t="shared" si="36"/>
        <v>3750</v>
      </c>
      <c r="L259" s="90">
        <f t="shared" ref="L259:L264" si="41">I259</f>
        <v>1160</v>
      </c>
      <c r="M259" s="2">
        <v>250</v>
      </c>
      <c r="N259" s="2">
        <v>0</v>
      </c>
      <c r="O259" s="90">
        <f t="shared" ref="O259:O264" si="42">J259-250</f>
        <v>3110</v>
      </c>
      <c r="P259" s="90">
        <f t="shared" si="40"/>
        <v>3110</v>
      </c>
    </row>
    <row r="260" spans="1:16" x14ac:dyDescent="0.3">
      <c r="A260" s="2" t="s">
        <v>62</v>
      </c>
      <c r="B260" s="2" t="s">
        <v>68</v>
      </c>
      <c r="C260" s="2" t="s">
        <v>64</v>
      </c>
      <c r="D260" s="1">
        <v>1430</v>
      </c>
      <c r="E260" s="1">
        <v>4240</v>
      </c>
      <c r="F260" s="2">
        <v>17500</v>
      </c>
      <c r="H260" s="11" t="str">
        <f t="shared" si="33"/>
        <v>Vrijstaande woning vanaf 2013 150 m2 tot 250 m2</v>
      </c>
      <c r="I260" s="29">
        <f t="shared" si="34"/>
        <v>1430</v>
      </c>
      <c r="J260" s="29">
        <f t="shared" si="35"/>
        <v>4240</v>
      </c>
      <c r="K260" s="29">
        <f t="shared" si="36"/>
        <v>17500</v>
      </c>
      <c r="L260" s="90">
        <f t="shared" si="41"/>
        <v>1430</v>
      </c>
      <c r="M260" s="2">
        <v>250</v>
      </c>
      <c r="N260" s="2">
        <v>0</v>
      </c>
      <c r="O260" s="90">
        <f t="shared" si="42"/>
        <v>3990</v>
      </c>
      <c r="P260" s="90">
        <f t="shared" si="40"/>
        <v>3990</v>
      </c>
    </row>
    <row r="261" spans="1:16" x14ac:dyDescent="0.3">
      <c r="A261" s="2" t="s">
        <v>62</v>
      </c>
      <c r="B261" s="2" t="s">
        <v>68</v>
      </c>
      <c r="C261" s="2" t="s">
        <v>58</v>
      </c>
      <c r="D261" s="1">
        <v>1170</v>
      </c>
      <c r="E261" s="1">
        <v>2710</v>
      </c>
      <c r="F261" s="2">
        <v>275</v>
      </c>
      <c r="H261" s="11" t="str">
        <f t="shared" si="33"/>
        <v>Vrijstaande woning vanaf 2013 2 m2 tot 50 m2</v>
      </c>
      <c r="I261" s="29">
        <f t="shared" si="34"/>
        <v>1170</v>
      </c>
      <c r="J261" s="29">
        <f t="shared" si="35"/>
        <v>2710</v>
      </c>
      <c r="K261" s="29">
        <f t="shared" si="36"/>
        <v>275</v>
      </c>
      <c r="L261" s="90">
        <f t="shared" si="41"/>
        <v>1170</v>
      </c>
      <c r="M261" s="2">
        <v>250</v>
      </c>
      <c r="N261" s="2">
        <v>0</v>
      </c>
      <c r="O261" s="90">
        <f t="shared" si="42"/>
        <v>2460</v>
      </c>
      <c r="P261" s="90">
        <f t="shared" si="40"/>
        <v>2460</v>
      </c>
    </row>
    <row r="262" spans="1:16" x14ac:dyDescent="0.3">
      <c r="A262" s="2" t="s">
        <v>62</v>
      </c>
      <c r="B262" s="2" t="s">
        <v>68</v>
      </c>
      <c r="C262" s="2" t="s">
        <v>66</v>
      </c>
      <c r="D262" s="1">
        <v>1840</v>
      </c>
      <c r="E262" s="1">
        <v>5640</v>
      </c>
      <c r="F262" s="2">
        <v>7500</v>
      </c>
      <c r="H262" s="11" t="str">
        <f t="shared" si="33"/>
        <v>Vrijstaande woning vanaf 2013 250 m2 tot 10.000m2</v>
      </c>
      <c r="I262" s="29">
        <f t="shared" si="34"/>
        <v>1840</v>
      </c>
      <c r="J262" s="29">
        <f t="shared" si="35"/>
        <v>5640</v>
      </c>
      <c r="K262" s="29">
        <f t="shared" si="36"/>
        <v>7500</v>
      </c>
      <c r="L262" s="90">
        <f t="shared" si="41"/>
        <v>1840</v>
      </c>
      <c r="M262" s="2">
        <v>250</v>
      </c>
      <c r="N262" s="2">
        <v>0</v>
      </c>
      <c r="O262" s="90">
        <f t="shared" si="42"/>
        <v>5390</v>
      </c>
      <c r="P262" s="90">
        <f t="shared" si="40"/>
        <v>5390</v>
      </c>
    </row>
    <row r="263" spans="1:16" x14ac:dyDescent="0.3">
      <c r="A263" s="2" t="s">
        <v>62</v>
      </c>
      <c r="B263" s="2" t="s">
        <v>68</v>
      </c>
      <c r="C263" s="2" t="s">
        <v>18</v>
      </c>
      <c r="D263" s="1">
        <v>1070</v>
      </c>
      <c r="E263" s="1">
        <v>2750</v>
      </c>
      <c r="F263" s="2">
        <v>750</v>
      </c>
      <c r="H263" s="11" t="str">
        <f t="shared" si="33"/>
        <v>Vrijstaande woning vanaf 2013 50 m2 tot 75 m2</v>
      </c>
      <c r="I263" s="29">
        <f t="shared" si="34"/>
        <v>1070</v>
      </c>
      <c r="J263" s="29">
        <f t="shared" si="35"/>
        <v>2750</v>
      </c>
      <c r="K263" s="29">
        <f t="shared" si="36"/>
        <v>750</v>
      </c>
      <c r="L263" s="90">
        <f t="shared" si="41"/>
        <v>1070</v>
      </c>
      <c r="M263" s="2">
        <v>250</v>
      </c>
      <c r="N263" s="2">
        <v>0</v>
      </c>
      <c r="O263" s="90">
        <f t="shared" si="42"/>
        <v>2500</v>
      </c>
      <c r="P263" s="90">
        <f t="shared" si="40"/>
        <v>2500</v>
      </c>
    </row>
    <row r="264" spans="1:16" x14ac:dyDescent="0.3">
      <c r="A264" s="2" t="s">
        <v>62</v>
      </c>
      <c r="B264" s="2" t="s">
        <v>68</v>
      </c>
      <c r="C264" s="2" t="s">
        <v>60</v>
      </c>
      <c r="D264" s="1">
        <v>1070</v>
      </c>
      <c r="E264" s="1">
        <v>2950</v>
      </c>
      <c r="F264" s="2">
        <v>750</v>
      </c>
      <c r="H264" s="11" t="str">
        <f t="shared" si="33"/>
        <v>Vrijstaande woning vanaf 2013 75 m2 tot 100 m2</v>
      </c>
      <c r="I264" s="29">
        <f t="shared" si="34"/>
        <v>1070</v>
      </c>
      <c r="J264" s="29">
        <f t="shared" si="35"/>
        <v>2950</v>
      </c>
      <c r="K264" s="29">
        <f t="shared" si="36"/>
        <v>750</v>
      </c>
      <c r="L264" s="90">
        <f t="shared" si="41"/>
        <v>1070</v>
      </c>
      <c r="M264" s="2">
        <v>250</v>
      </c>
      <c r="N264" s="2">
        <v>0</v>
      </c>
      <c r="O264" s="90">
        <f t="shared" si="42"/>
        <v>2700</v>
      </c>
      <c r="P264" s="90">
        <f t="shared" si="40"/>
        <v>2700</v>
      </c>
    </row>
    <row r="265" spans="1:16" x14ac:dyDescent="0.3">
      <c r="H265" s="11"/>
      <c r="I265" s="27"/>
      <c r="J265" s="27"/>
      <c r="K265" s="2"/>
      <c r="L265" s="2"/>
    </row>
    <row r="266" spans="1:16" x14ac:dyDescent="0.3">
      <c r="H266" s="11"/>
      <c r="I266" s="27"/>
      <c r="J266" s="27"/>
      <c r="K266" s="2"/>
      <c r="L266" s="2"/>
    </row>
    <row r="267" spans="1:16" x14ac:dyDescent="0.3">
      <c r="A267" s="2" t="s">
        <v>72</v>
      </c>
      <c r="F267" s="2">
        <f>SUM(F25:F264)</f>
        <v>7557650</v>
      </c>
      <c r="H267" s="11"/>
      <c r="I267" s="27"/>
      <c r="J267" s="27"/>
      <c r="K267" s="2"/>
      <c r="L267" s="2"/>
    </row>
    <row r="268" spans="1:16" x14ac:dyDescent="0.3">
      <c r="A268" s="2" t="s">
        <v>73</v>
      </c>
      <c r="D268" s="20">
        <f>AVERAGE(D25:D264)</f>
        <v>1330.625</v>
      </c>
      <c r="E268" s="20">
        <f>AVERAGE(E25:E264)</f>
        <v>2991.8333333333335</v>
      </c>
      <c r="H268" s="11"/>
      <c r="I268" s="27"/>
      <c r="J268" s="27"/>
      <c r="K268" s="2"/>
      <c r="L268" s="2"/>
    </row>
    <row r="269" spans="1:16" x14ac:dyDescent="0.3">
      <c r="A269" s="4" t="s">
        <v>74</v>
      </c>
      <c r="D269" s="21">
        <f>(SUMPRODUCT(D25:D264,F25:F264))/F267</f>
        <v>1270.3734295713614</v>
      </c>
      <c r="E269" s="21">
        <f>(SUMPRODUCT(E25:E264,F25:F264))/F267</f>
        <v>2770.0061527061985</v>
      </c>
      <c r="H269" s="11"/>
      <c r="I269" s="27"/>
      <c r="J269" s="27"/>
      <c r="K269" s="2"/>
      <c r="L269" s="2"/>
    </row>
    <row r="270" spans="1:16" x14ac:dyDescent="0.3">
      <c r="J270" s="4"/>
      <c r="K270" s="21"/>
      <c r="L270" s="21"/>
      <c r="M270" s="21"/>
    </row>
    <row r="271" spans="1:16" x14ac:dyDescent="0.3">
      <c r="K271" s="29"/>
      <c r="L271" s="29"/>
      <c r="M271" s="29"/>
    </row>
    <row r="272" spans="1:16" x14ac:dyDescent="0.3">
      <c r="K272" s="29"/>
      <c r="L272" s="29"/>
      <c r="M272" s="29"/>
    </row>
    <row r="273" spans="1:13" x14ac:dyDescent="0.3">
      <c r="K273" s="29"/>
      <c r="L273" s="29"/>
      <c r="M273" s="29"/>
    </row>
    <row r="274" spans="1:13" x14ac:dyDescent="0.3">
      <c r="A274" s="4" t="s">
        <v>371</v>
      </c>
      <c r="K274" s="29"/>
      <c r="L274" s="29"/>
      <c r="M274" s="29"/>
    </row>
    <row r="275" spans="1:13" x14ac:dyDescent="0.3">
      <c r="A275" s="4" t="s">
        <v>2</v>
      </c>
      <c r="B275" s="4" t="s">
        <v>2</v>
      </c>
      <c r="E275" s="3" t="s">
        <v>389</v>
      </c>
      <c r="H275" s="4" t="s">
        <v>390</v>
      </c>
      <c r="K275" s="29"/>
      <c r="L275" s="29"/>
      <c r="M275" s="29"/>
    </row>
    <row r="276" spans="1:13" x14ac:dyDescent="0.3">
      <c r="A276" s="2" t="str">
        <f>invoer_woningen!A4</f>
        <v>A</v>
      </c>
      <c r="B276" s="2" t="str">
        <f>_xlfn.CONCAT(invoer_woningen!B4," ",invoer_woningen!C4," ",invoer_woningen!D4)</f>
        <v>Tussen of geschakelde woning 1965 tot en met 1974 50 m2 tot 75 m2</v>
      </c>
      <c r="E276" s="15" t="str" cm="1">
        <f t="array" ref="E276:E279">_xlfn.UNIQUE(B276:B309)</f>
        <v>Tussen of geschakelde woning 1965 tot en met 1974 50 m2 tot 75 m2</v>
      </c>
      <c r="H276" s="15">
        <f>IF(resultaat!Z4&lt;1,"",_xlfn.IFNA(VLOOKUP(E276,H$25:K$264,4,FALSE),invoer_woningen!E4+invoer_woningen!R4)-invoer_woningen!E4-invoer_woningen!R4)</f>
        <v>6950</v>
      </c>
      <c r="K276" s="29"/>
      <c r="L276" s="29"/>
      <c r="M276" s="29"/>
    </row>
    <row r="277" spans="1:13" x14ac:dyDescent="0.3">
      <c r="A277" s="2" t="str">
        <f>invoer_woningen!A5</f>
        <v>B</v>
      </c>
      <c r="B277" s="2" t="str">
        <f>_xlfn.CONCAT(invoer_woningen!B5," ",invoer_woningen!C5," ",invoer_woningen!D5)</f>
        <v>Tussen of geschakelde woning 1975 tot en met 1991 50 m2 tot 75 m2</v>
      </c>
      <c r="E277" s="15" t="str">
        <v>Tussen of geschakelde woning 1975 tot en met 1991 50 m2 tot 75 m2</v>
      </c>
      <c r="H277" s="15">
        <f>IF(resultaat!Z5&lt;1,"",_xlfn.IFNA(VLOOKUP(E277,H$25:K$264,4,FALSE),invoer_woningen!E5+invoer_woningen!R5)-invoer_woningen!E5-invoer_woningen!R5)</f>
        <v>16950</v>
      </c>
      <c r="K277" s="29"/>
      <c r="L277" s="29"/>
      <c r="M277" s="29"/>
    </row>
    <row r="278" spans="1:13" x14ac:dyDescent="0.3">
      <c r="A278" s="2" t="str">
        <f>invoer_woningen!A6</f>
        <v>C</v>
      </c>
      <c r="B278" s="2" t="str">
        <f>_xlfn.CONCAT(invoer_woningen!B6," ",invoer_woningen!C6," ",invoer_woningen!D6)</f>
        <v>Tussen of geschakelde woning 1975 tot en met 1991 75 m2 tot 100 m2</v>
      </c>
      <c r="E278" s="15" t="str">
        <v>Tussen of geschakelde woning 1975 tot en met 1991 75 m2 tot 100 m2</v>
      </c>
      <c r="H278" s="15">
        <f>IF(resultaat!Z6&lt;1,"",_xlfn.IFNA(VLOOKUP(E278,H$25:K$264,4,FALSE),invoer_woningen!E6+invoer_woningen!R6)-invoer_woningen!E6-invoer_woningen!R6)</f>
        <v>174450</v>
      </c>
      <c r="K278" s="29"/>
      <c r="L278" s="29"/>
      <c r="M278" s="29"/>
    </row>
    <row r="279" spans="1:13" x14ac:dyDescent="0.3">
      <c r="A279" s="2" t="str">
        <f>invoer_woningen!A7</f>
        <v>D</v>
      </c>
      <c r="B279" s="2" t="str">
        <f>_xlfn.CONCAT(invoer_woningen!B7," ",invoer_woningen!C7," ",invoer_woningen!D7)</f>
        <v xml:space="preserve">  </v>
      </c>
      <c r="E279" s="1" t="str">
        <v xml:space="preserve">  </v>
      </c>
      <c r="H279" s="15" t="str">
        <f>IF(resultaat!Z7&lt;1,"",_xlfn.IFNA(VLOOKUP(E279,H$25:K$264,4,FALSE),invoer_woningen!E7+invoer_woningen!R7)-invoer_woningen!E7-invoer_woningen!R7)</f>
        <v/>
      </c>
      <c r="K279" s="29"/>
      <c r="L279" s="29"/>
      <c r="M279" s="29"/>
    </row>
    <row r="280" spans="1:13" x14ac:dyDescent="0.3">
      <c r="A280" s="2" t="str">
        <f>invoer_woningen!A8</f>
        <v>E</v>
      </c>
      <c r="B280" s="2" t="str">
        <f>_xlfn.CONCAT(invoer_woningen!B8," ",invoer_woningen!C8," ",invoer_woningen!D8)</f>
        <v xml:space="preserve">  </v>
      </c>
      <c r="H280" s="15" t="str">
        <f>IF(resultaat!Z8&lt;1,"",_xlfn.IFNA(VLOOKUP(E280,H$25:K$264,4,FALSE),invoer_woningen!E8+invoer_woningen!R8)-invoer_woningen!E8-invoer_woningen!R8)</f>
        <v/>
      </c>
      <c r="K280" s="29"/>
      <c r="L280" s="29"/>
      <c r="M280" s="29"/>
    </row>
    <row r="281" spans="1:13" x14ac:dyDescent="0.3">
      <c r="A281" s="2" t="str">
        <f>invoer_woningen!A9</f>
        <v>F</v>
      </c>
      <c r="B281" s="2" t="str">
        <f>_xlfn.CONCAT(invoer_woningen!B9," ",invoer_woningen!C9," ",invoer_woningen!D9)</f>
        <v xml:space="preserve">  </v>
      </c>
      <c r="H281" s="15" t="str">
        <f>IF(resultaat!Z9&lt;1,"",_xlfn.IFNA(VLOOKUP(E281,H$25:K$264,4,FALSE),invoer_woningen!E9+invoer_woningen!R9)-invoer_woningen!E9-invoer_woningen!R9)</f>
        <v/>
      </c>
      <c r="K281" s="29"/>
      <c r="L281" s="29"/>
      <c r="M281" s="29"/>
    </row>
    <row r="282" spans="1:13" x14ac:dyDescent="0.3">
      <c r="A282" s="2" t="str">
        <f>invoer_woningen!A10</f>
        <v>G</v>
      </c>
      <c r="B282" s="2" t="str">
        <f>_xlfn.CONCAT(invoer_woningen!B10," ",invoer_woningen!C10," ",invoer_woningen!D10)</f>
        <v xml:space="preserve">  </v>
      </c>
      <c r="H282" s="15" t="str">
        <f>IF(resultaat!Z10&lt;1,"",_xlfn.IFNA(VLOOKUP(E282,H$25:K$264,4,FALSE),invoer_woningen!E10+invoer_woningen!R10)-invoer_woningen!E10-invoer_woningen!R10)</f>
        <v/>
      </c>
      <c r="K282" s="29"/>
      <c r="L282" s="29"/>
      <c r="M282" s="29"/>
    </row>
    <row r="283" spans="1:13" x14ac:dyDescent="0.3">
      <c r="A283" s="2" t="str">
        <f>invoer_woningen!A11</f>
        <v>H</v>
      </c>
      <c r="B283" s="2" t="str">
        <f>_xlfn.CONCAT(invoer_woningen!B11," ",invoer_woningen!C11," ",invoer_woningen!D11)</f>
        <v xml:space="preserve">  </v>
      </c>
      <c r="H283" s="15" t="str">
        <f>IF(resultaat!Z11&lt;1,"",_xlfn.IFNA(VLOOKUP(E283,H$25:K$264,4,FALSE),invoer_woningen!E11+invoer_woningen!R11)-invoer_woningen!E11-invoer_woningen!R11)</f>
        <v/>
      </c>
      <c r="K283" s="29"/>
      <c r="L283" s="29"/>
      <c r="M283" s="29"/>
    </row>
    <row r="284" spans="1:13" x14ac:dyDescent="0.3">
      <c r="A284" s="2" t="str">
        <f>invoer_woningen!A12</f>
        <v>I</v>
      </c>
      <c r="B284" s="2" t="str">
        <f>_xlfn.CONCAT(invoer_woningen!B12," ",invoer_woningen!C12," ",invoer_woningen!D12)</f>
        <v xml:space="preserve">  </v>
      </c>
      <c r="H284" s="15" t="str">
        <f>IF(resultaat!Z12&lt;1,"",_xlfn.IFNA(VLOOKUP(E284,H$25:K$264,4,FALSE),invoer_woningen!E12+invoer_woningen!R12)-invoer_woningen!E12-invoer_woningen!R12)</f>
        <v/>
      </c>
      <c r="K284" s="29"/>
      <c r="L284" s="29"/>
      <c r="M284" s="29"/>
    </row>
    <row r="285" spans="1:13" x14ac:dyDescent="0.3">
      <c r="A285" s="2" t="str">
        <f>invoer_woningen!A13</f>
        <v>J</v>
      </c>
      <c r="B285" s="2" t="str">
        <f>_xlfn.CONCAT(invoer_woningen!B13," ",invoer_woningen!C13," ",invoer_woningen!D13)</f>
        <v xml:space="preserve">  </v>
      </c>
      <c r="H285" s="15" t="str">
        <f>IF(resultaat!Z13&lt;1,"",_xlfn.IFNA(VLOOKUP(E285,H$25:K$264,4,FALSE),invoer_woningen!E13+invoer_woningen!R13)-invoer_woningen!E13-invoer_woningen!R13)</f>
        <v/>
      </c>
      <c r="K285" s="29"/>
      <c r="L285" s="29"/>
      <c r="M285" s="29"/>
    </row>
    <row r="286" spans="1:13" x14ac:dyDescent="0.3">
      <c r="A286" s="2" t="str">
        <f>invoer_woningen!A14</f>
        <v>K</v>
      </c>
      <c r="B286" s="2" t="str">
        <f>_xlfn.CONCAT(invoer_woningen!B14," ",invoer_woningen!C14," ",invoer_woningen!D14)</f>
        <v xml:space="preserve">  </v>
      </c>
      <c r="H286" s="15" t="str">
        <f>IF(resultaat!Z14&lt;1,"",_xlfn.IFNA(VLOOKUP(E286,H$25:K$264,4,FALSE),invoer_woningen!E14+invoer_woningen!R14)-invoer_woningen!E14-invoer_woningen!R14)</f>
        <v/>
      </c>
      <c r="K286" s="29"/>
      <c r="L286" s="29"/>
      <c r="M286" s="29"/>
    </row>
    <row r="287" spans="1:13" x14ac:dyDescent="0.3">
      <c r="A287" s="2" t="str">
        <f>invoer_woningen!A15</f>
        <v>L</v>
      </c>
      <c r="B287" s="2" t="str">
        <f>_xlfn.CONCAT(invoer_woningen!B15," ",invoer_woningen!C15," ",invoer_woningen!D15)</f>
        <v xml:space="preserve">  </v>
      </c>
      <c r="H287" s="15" t="str">
        <f>IF(resultaat!Z15&lt;1,"",_xlfn.IFNA(VLOOKUP(E287,H$25:K$264,4,FALSE),invoer_woningen!E15+invoer_woningen!R15)-invoer_woningen!E15-invoer_woningen!R15)</f>
        <v/>
      </c>
      <c r="K287" s="29"/>
      <c r="L287" s="29"/>
      <c r="M287" s="29"/>
    </row>
    <row r="288" spans="1:13" x14ac:dyDescent="0.3">
      <c r="A288" s="2" t="str">
        <f>invoer_woningen!A16</f>
        <v>M</v>
      </c>
      <c r="B288" s="2" t="str">
        <f>_xlfn.CONCAT(invoer_woningen!B16," ",invoer_woningen!C16," ",invoer_woningen!D16)</f>
        <v xml:space="preserve">  </v>
      </c>
      <c r="H288" s="15" t="str">
        <f>IF(resultaat!Z16&lt;1,"",_xlfn.IFNA(VLOOKUP(E288,H$25:K$264,4,FALSE),invoer_woningen!E16+invoer_woningen!R16)-invoer_woningen!E16-invoer_woningen!R16)</f>
        <v/>
      </c>
      <c r="K288" s="29"/>
      <c r="L288" s="29"/>
      <c r="M288" s="29"/>
    </row>
    <row r="289" spans="1:13" x14ac:dyDescent="0.3">
      <c r="A289" s="2" t="str">
        <f>invoer_woningen!A17</f>
        <v>N</v>
      </c>
      <c r="B289" s="2" t="str">
        <f>_xlfn.CONCAT(invoer_woningen!B17," ",invoer_woningen!C17," ",invoer_woningen!D17)</f>
        <v xml:space="preserve">  </v>
      </c>
      <c r="H289" s="15" t="str">
        <f>IF(resultaat!Z17&lt;1,"",_xlfn.IFNA(VLOOKUP(E289,H$25:K$264,4,FALSE),invoer_woningen!E17+invoer_woningen!R17)-invoer_woningen!E17-invoer_woningen!R17)</f>
        <v/>
      </c>
      <c r="K289" s="29"/>
      <c r="L289" s="29"/>
      <c r="M289" s="29"/>
    </row>
    <row r="290" spans="1:13" x14ac:dyDescent="0.3">
      <c r="A290" s="2" t="str">
        <f>invoer_woningen!A18</f>
        <v>O</v>
      </c>
      <c r="B290" s="2" t="str">
        <f>_xlfn.CONCAT(invoer_woningen!B18," ",invoer_woningen!C18," ",invoer_woningen!D18)</f>
        <v xml:space="preserve">  </v>
      </c>
      <c r="H290" s="15" t="str">
        <f>IF(resultaat!Z18&lt;1,"",_xlfn.IFNA(VLOOKUP(E290,H$25:K$264,4,FALSE),invoer_woningen!E18+invoer_woningen!R18)-invoer_woningen!E18-invoer_woningen!R18)</f>
        <v/>
      </c>
      <c r="K290" s="29"/>
      <c r="L290" s="29"/>
      <c r="M290" s="29"/>
    </row>
    <row r="291" spans="1:13" x14ac:dyDescent="0.3">
      <c r="A291" s="2" t="str">
        <f>invoer_woningen!A19</f>
        <v>P</v>
      </c>
      <c r="B291" s="2" t="str">
        <f>_xlfn.CONCAT(invoer_woningen!B19," ",invoer_woningen!C19," ",invoer_woningen!D19)</f>
        <v xml:space="preserve">  </v>
      </c>
      <c r="H291" s="15" t="str">
        <f>IF(resultaat!Z19&lt;1,"",_xlfn.IFNA(VLOOKUP(E291,H$25:K$264,4,FALSE),invoer_woningen!E19+invoer_woningen!R19)-invoer_woningen!E19-invoer_woningen!R19)</f>
        <v/>
      </c>
      <c r="K291" s="29"/>
      <c r="L291" s="29"/>
      <c r="M291" s="29"/>
    </row>
    <row r="292" spans="1:13" x14ac:dyDescent="0.3">
      <c r="A292" s="2" t="str">
        <f>invoer_woningen!A20</f>
        <v>Q</v>
      </c>
      <c r="B292" s="2" t="str">
        <f>_xlfn.CONCAT(invoer_woningen!B20," ",invoer_woningen!C20," ",invoer_woningen!D20)</f>
        <v xml:space="preserve">  </v>
      </c>
      <c r="H292" s="15" t="str">
        <f>IF(resultaat!Z20&lt;1,"",_xlfn.IFNA(VLOOKUP(E292,H$25:K$264,4,FALSE),invoer_woningen!E20+invoer_woningen!R20)-invoer_woningen!E20-invoer_woningen!R20)</f>
        <v/>
      </c>
      <c r="K292" s="29"/>
      <c r="L292" s="29"/>
      <c r="M292" s="29"/>
    </row>
    <row r="293" spans="1:13" x14ac:dyDescent="0.3">
      <c r="A293" s="2" t="str">
        <f>invoer_woningen!A21</f>
        <v>R</v>
      </c>
      <c r="B293" s="2" t="str">
        <f>_xlfn.CONCAT(invoer_woningen!B21," ",invoer_woningen!C21," ",invoer_woningen!D21)</f>
        <v xml:space="preserve">  </v>
      </c>
      <c r="H293" s="15" t="str">
        <f>IF(resultaat!Z21&lt;1,"",_xlfn.IFNA(VLOOKUP(E293,H$25:K$264,4,FALSE),invoer_woningen!E21+invoer_woningen!R21)-invoer_woningen!E21-invoer_woningen!R21)</f>
        <v/>
      </c>
      <c r="K293" s="29"/>
      <c r="L293" s="29"/>
      <c r="M293" s="29"/>
    </row>
    <row r="294" spans="1:13" x14ac:dyDescent="0.3">
      <c r="A294" s="2" t="str">
        <f>invoer_woningen!A22</f>
        <v>S</v>
      </c>
      <c r="B294" s="2" t="str">
        <f>_xlfn.CONCAT(invoer_woningen!B22," ",invoer_woningen!C22," ",invoer_woningen!D22)</f>
        <v xml:space="preserve">  </v>
      </c>
      <c r="H294" s="15" t="str">
        <f>IF(resultaat!Z22&lt;1,"",_xlfn.IFNA(VLOOKUP(E294,H$25:K$264,4,FALSE),invoer_woningen!E22+invoer_woningen!R22)-invoer_woningen!E22-invoer_woningen!R22)</f>
        <v/>
      </c>
      <c r="K294" s="29"/>
      <c r="L294" s="29"/>
      <c r="M294" s="29"/>
    </row>
    <row r="295" spans="1:13" x14ac:dyDescent="0.3">
      <c r="A295" s="2" t="str">
        <f>invoer_woningen!A23</f>
        <v>T</v>
      </c>
      <c r="B295" s="2" t="str">
        <f>_xlfn.CONCAT(invoer_woningen!B23," ",invoer_woningen!C23," ",invoer_woningen!D23)</f>
        <v xml:space="preserve">  </v>
      </c>
      <c r="H295" s="15" t="str">
        <f>IF(resultaat!Z23&lt;1,"",_xlfn.IFNA(VLOOKUP(E295,H$25:K$264,4,FALSE),invoer_woningen!E23+invoer_woningen!R23)-invoer_woningen!E23-invoer_woningen!R23)</f>
        <v/>
      </c>
      <c r="K295" s="29"/>
      <c r="L295" s="29"/>
      <c r="M295" s="29"/>
    </row>
    <row r="296" spans="1:13" x14ac:dyDescent="0.3">
      <c r="A296" s="2" t="str">
        <f>invoer_woningen!A24</f>
        <v>U</v>
      </c>
      <c r="B296" s="2" t="str">
        <f>_xlfn.CONCAT(invoer_woningen!B24," ",invoer_woningen!C24," ",invoer_woningen!D24)</f>
        <v xml:space="preserve">  </v>
      </c>
      <c r="H296" s="15" t="str">
        <f>IF(resultaat!Z24&lt;1,"",_xlfn.IFNA(VLOOKUP(E296,H$25:K$264,4,FALSE),invoer_woningen!E24+invoer_woningen!R24)-invoer_woningen!E24-invoer_woningen!R24)</f>
        <v/>
      </c>
      <c r="K296" s="29"/>
      <c r="L296" s="29"/>
      <c r="M296" s="29"/>
    </row>
    <row r="297" spans="1:13" x14ac:dyDescent="0.3">
      <c r="A297" s="2" t="str">
        <f>invoer_woningen!A25</f>
        <v>V</v>
      </c>
      <c r="B297" s="2" t="str">
        <f>_xlfn.CONCAT(invoer_woningen!B25," ",invoer_woningen!C25," ",invoer_woningen!D25)</f>
        <v xml:space="preserve">  </v>
      </c>
      <c r="H297" s="15" t="str">
        <f>IF(resultaat!Z25&lt;1,"",_xlfn.IFNA(VLOOKUP(E297,H$25:K$264,4,FALSE),invoer_woningen!E25+invoer_woningen!R25)-invoer_woningen!E25-invoer_woningen!R25)</f>
        <v/>
      </c>
      <c r="K297" s="29"/>
      <c r="L297" s="29"/>
      <c r="M297" s="29"/>
    </row>
    <row r="298" spans="1:13" x14ac:dyDescent="0.3">
      <c r="A298" s="2" t="str">
        <f>invoer_woningen!A26</f>
        <v>W</v>
      </c>
      <c r="B298" s="2" t="str">
        <f>_xlfn.CONCAT(invoer_woningen!B26," ",invoer_woningen!C26," ",invoer_woningen!D26)</f>
        <v xml:space="preserve">  </v>
      </c>
      <c r="H298" s="15" t="str">
        <f>IF(resultaat!Z26&lt;1,"",_xlfn.IFNA(VLOOKUP(E298,H$25:K$264,4,FALSE),invoer_woningen!E26+invoer_woningen!R26)-invoer_woningen!E26-invoer_woningen!R26)</f>
        <v/>
      </c>
      <c r="K298" s="29"/>
      <c r="L298" s="29"/>
      <c r="M298" s="29"/>
    </row>
    <row r="299" spans="1:13" x14ac:dyDescent="0.3">
      <c r="A299" s="2" t="str">
        <f>invoer_woningen!A27</f>
        <v>X</v>
      </c>
      <c r="B299" s="2" t="str">
        <f>_xlfn.CONCAT(invoer_woningen!B27," ",invoer_woningen!C27," ",invoer_woningen!D27)</f>
        <v xml:space="preserve">  </v>
      </c>
      <c r="H299" s="15" t="str">
        <f>IF(resultaat!Z27&lt;1,"",_xlfn.IFNA(VLOOKUP(E299,H$25:K$264,4,FALSE),invoer_woningen!E27+invoer_woningen!R27)-invoer_woningen!E27-invoer_woningen!R27)</f>
        <v/>
      </c>
      <c r="K299" s="29"/>
      <c r="L299" s="29"/>
      <c r="M299" s="29"/>
    </row>
    <row r="300" spans="1:13" x14ac:dyDescent="0.3">
      <c r="A300" s="2" t="str">
        <f>invoer_woningen!A28</f>
        <v>Y</v>
      </c>
      <c r="B300" s="2" t="str">
        <f>_xlfn.CONCAT(invoer_woningen!B28," ",invoer_woningen!C28," ",invoer_woningen!D28)</f>
        <v xml:space="preserve">  </v>
      </c>
      <c r="H300" s="15" t="str">
        <f>IF(resultaat!Z28&lt;1,"",_xlfn.IFNA(VLOOKUP(E300,H$25:K$264,4,FALSE),invoer_woningen!E28+invoer_woningen!R28)-invoer_woningen!E28-invoer_woningen!R28)</f>
        <v/>
      </c>
      <c r="K300" s="29"/>
      <c r="L300" s="29"/>
      <c r="M300" s="29"/>
    </row>
    <row r="301" spans="1:13" x14ac:dyDescent="0.3">
      <c r="A301" s="2" t="str">
        <f>invoer_woningen!A29</f>
        <v>Z</v>
      </c>
      <c r="B301" s="2" t="str">
        <f>_xlfn.CONCAT(invoer_woningen!B29," ",invoer_woningen!C29," ",invoer_woningen!D29)</f>
        <v xml:space="preserve">  </v>
      </c>
      <c r="H301" s="15" t="str">
        <f>IF(resultaat!Z29&lt;1,"",_xlfn.IFNA(VLOOKUP(E301,H$25:K$264,4,FALSE),invoer_woningen!E29+invoer_woningen!R29)-invoer_woningen!E29-invoer_woningen!R29)</f>
        <v/>
      </c>
      <c r="K301" s="29"/>
      <c r="L301" s="29"/>
      <c r="M301" s="29"/>
    </row>
    <row r="302" spans="1:13" x14ac:dyDescent="0.3">
      <c r="A302" s="2" t="str">
        <f>invoer_woningen!A30</f>
        <v>AA</v>
      </c>
      <c r="B302" s="2" t="str">
        <f>_xlfn.CONCAT(invoer_woningen!B30," ",invoer_woningen!C30," ",invoer_woningen!D30)</f>
        <v xml:space="preserve">  </v>
      </c>
      <c r="H302" s="15" t="str">
        <f>IF(resultaat!Z30&lt;1,"",_xlfn.IFNA(VLOOKUP(E302,H$25:K$264,4,FALSE),invoer_woningen!E30+invoer_woningen!R30)-invoer_woningen!E30-invoer_woningen!R30)</f>
        <v/>
      </c>
      <c r="K302" s="29"/>
      <c r="L302" s="29"/>
      <c r="M302" s="29"/>
    </row>
    <row r="303" spans="1:13" x14ac:dyDescent="0.3">
      <c r="A303" s="2" t="str">
        <f>invoer_woningen!A31</f>
        <v>AB</v>
      </c>
      <c r="B303" s="2" t="str">
        <f>_xlfn.CONCAT(invoer_woningen!B31," ",invoer_woningen!C31," ",invoer_woningen!D31)</f>
        <v xml:space="preserve">  </v>
      </c>
      <c r="H303" s="15" t="str">
        <f>IF(resultaat!Z31&lt;1,"",_xlfn.IFNA(VLOOKUP(E303,H$25:K$264,4,FALSE),invoer_woningen!E31+invoer_woningen!R31)-invoer_woningen!E31-invoer_woningen!R31)</f>
        <v/>
      </c>
      <c r="K303" s="29"/>
      <c r="L303" s="29"/>
      <c r="M303" s="29"/>
    </row>
    <row r="304" spans="1:13" x14ac:dyDescent="0.3">
      <c r="A304" s="2" t="str">
        <f>invoer_woningen!A32</f>
        <v>AC</v>
      </c>
      <c r="B304" s="2" t="str">
        <f>_xlfn.CONCAT(invoer_woningen!B32," ",invoer_woningen!C32," ",invoer_woningen!D32)</f>
        <v xml:space="preserve">  </v>
      </c>
      <c r="H304" s="15" t="str">
        <f>IF(resultaat!Z32&lt;1,"",_xlfn.IFNA(VLOOKUP(E304,H$25:K$264,4,FALSE),invoer_woningen!E32+invoer_woningen!R32)-invoer_woningen!E32-invoer_woningen!R32)</f>
        <v/>
      </c>
      <c r="K304" s="29"/>
      <c r="L304" s="29"/>
      <c r="M304" s="29"/>
    </row>
    <row r="305" spans="1:13" x14ac:dyDescent="0.3">
      <c r="A305" s="2" t="str">
        <f>invoer_woningen!A33</f>
        <v>AD</v>
      </c>
      <c r="B305" s="2" t="str">
        <f>_xlfn.CONCAT(invoer_woningen!B33," ",invoer_woningen!C33," ",invoer_woningen!D33)</f>
        <v xml:space="preserve">  </v>
      </c>
      <c r="H305" s="15" t="str">
        <f>IF(resultaat!Z33&lt;1,"",_xlfn.IFNA(VLOOKUP(E305,H$25:K$264,4,FALSE),invoer_woningen!E33+invoer_woningen!R33)-invoer_woningen!E33-invoer_woningen!R33)</f>
        <v/>
      </c>
      <c r="K305" s="29"/>
      <c r="L305" s="29"/>
      <c r="M305" s="29"/>
    </row>
    <row r="306" spans="1:13" x14ac:dyDescent="0.3">
      <c r="A306" s="2" t="str">
        <f>invoer_woningen!A34</f>
        <v>AE</v>
      </c>
      <c r="B306" s="2" t="str">
        <f>_xlfn.CONCAT(invoer_woningen!B34," ",invoer_woningen!C34," ",invoer_woningen!D34)</f>
        <v xml:space="preserve">  </v>
      </c>
      <c r="H306" s="15" t="str">
        <f>IF(resultaat!Z34&lt;1,"",_xlfn.IFNA(VLOOKUP(E306,H$25:K$264,4,FALSE),invoer_woningen!E34+invoer_woningen!R34)-invoer_woningen!E34-invoer_woningen!R34)</f>
        <v/>
      </c>
      <c r="K306" s="29"/>
      <c r="L306" s="29"/>
      <c r="M306" s="29"/>
    </row>
    <row r="307" spans="1:13" x14ac:dyDescent="0.3">
      <c r="A307" s="2" t="str">
        <f>invoer_woningen!A35</f>
        <v>AF</v>
      </c>
      <c r="B307" s="2" t="str">
        <f>_xlfn.CONCAT(invoer_woningen!B35," ",invoer_woningen!C35," ",invoer_woningen!D35)</f>
        <v xml:space="preserve">  </v>
      </c>
      <c r="H307" s="15" t="str">
        <f>IF(resultaat!Z35&lt;1,"",_xlfn.IFNA(VLOOKUP(E307,H$25:K$264,4,FALSE),invoer_woningen!E35+invoer_woningen!R35)-invoer_woningen!E35-invoer_woningen!R35)</f>
        <v/>
      </c>
      <c r="K307" s="29"/>
      <c r="L307" s="29"/>
      <c r="M307" s="29"/>
    </row>
    <row r="308" spans="1:13" x14ac:dyDescent="0.3">
      <c r="A308" s="2" t="str">
        <f>invoer_woningen!A36</f>
        <v>AG</v>
      </c>
      <c r="B308" s="2" t="str">
        <f>_xlfn.CONCAT(invoer_woningen!B36," ",invoer_woningen!C36," ",invoer_woningen!D36)</f>
        <v xml:space="preserve">  </v>
      </c>
      <c r="H308" s="15" t="str">
        <f>IF(resultaat!Z36&lt;1,"",_xlfn.IFNA(VLOOKUP(E308,H$25:K$264,4,FALSE),invoer_woningen!E36+invoer_woningen!R36)-invoer_woningen!E36-invoer_woningen!R36)</f>
        <v/>
      </c>
      <c r="K308" s="29"/>
      <c r="L308" s="29"/>
      <c r="M308" s="29"/>
    </row>
    <row r="309" spans="1:13" x14ac:dyDescent="0.3">
      <c r="A309" s="2" t="str">
        <f>invoer_woningen!A37</f>
        <v>AH</v>
      </c>
      <c r="B309" s="2" t="str">
        <f>_xlfn.CONCAT(invoer_woningen!B37," ",invoer_woningen!C37," ",invoer_woningen!D37)</f>
        <v xml:space="preserve">  </v>
      </c>
      <c r="H309" s="15" t="str">
        <f>IF(resultaat!Z37&lt;1,"",_xlfn.IFNA(VLOOKUP(E309,H$25:K$264,4,FALSE),invoer_woningen!E37+invoer_woningen!R37)-invoer_woningen!E37-invoer_woningen!R37)</f>
        <v/>
      </c>
      <c r="K309" s="29"/>
      <c r="L309" s="29"/>
      <c r="M309" s="29"/>
    </row>
    <row r="310" spans="1:13" x14ac:dyDescent="0.3">
      <c r="K310" s="29"/>
      <c r="L310" s="29"/>
      <c r="M310" s="29"/>
    </row>
    <row r="311" spans="1:13" x14ac:dyDescent="0.3">
      <c r="K311" s="29"/>
      <c r="L311" s="29"/>
      <c r="M311" s="29"/>
    </row>
    <row r="312" spans="1:13" x14ac:dyDescent="0.3">
      <c r="K312" s="29"/>
      <c r="L312" s="29"/>
      <c r="M312" s="29"/>
    </row>
    <row r="313" spans="1:13" x14ac:dyDescent="0.3">
      <c r="K313" s="29"/>
      <c r="L313" s="29"/>
      <c r="M313" s="29"/>
    </row>
    <row r="314" spans="1:13" x14ac:dyDescent="0.3">
      <c r="K314" s="29"/>
      <c r="L314" s="29"/>
      <c r="M314" s="29"/>
    </row>
    <row r="315" spans="1:13" x14ac:dyDescent="0.3">
      <c r="K315" s="29"/>
      <c r="L315" s="29"/>
      <c r="M315" s="29"/>
    </row>
    <row r="316" spans="1:13" x14ac:dyDescent="0.3">
      <c r="K316" s="29"/>
      <c r="L316" s="29"/>
      <c r="M316" s="29"/>
    </row>
    <row r="317" spans="1:13" x14ac:dyDescent="0.3">
      <c r="K317" s="29"/>
      <c r="L317" s="29"/>
      <c r="M317" s="29"/>
    </row>
    <row r="318" spans="1:13" x14ac:dyDescent="0.3">
      <c r="K318" s="29"/>
      <c r="L318" s="29"/>
      <c r="M318" s="29"/>
    </row>
    <row r="319" spans="1:13" x14ac:dyDescent="0.3">
      <c r="K319" s="29"/>
      <c r="L319" s="29"/>
      <c r="M319" s="29"/>
    </row>
    <row r="320" spans="1:13" x14ac:dyDescent="0.3">
      <c r="K320" s="29"/>
      <c r="L320" s="29"/>
      <c r="M320" s="29"/>
    </row>
    <row r="321" spans="11:13" x14ac:dyDescent="0.3">
      <c r="K321" s="29"/>
      <c r="L321" s="29"/>
      <c r="M321" s="29"/>
    </row>
    <row r="322" spans="11:13" x14ac:dyDescent="0.3">
      <c r="K322" s="29"/>
      <c r="L322" s="29"/>
      <c r="M322" s="29"/>
    </row>
    <row r="323" spans="11:13" x14ac:dyDescent="0.3">
      <c r="K323" s="29"/>
      <c r="L323" s="29"/>
      <c r="M323" s="29"/>
    </row>
    <row r="324" spans="11:13" x14ac:dyDescent="0.3">
      <c r="K324" s="29"/>
      <c r="L324" s="29"/>
      <c r="M324" s="29"/>
    </row>
    <row r="325" spans="11:13" x14ac:dyDescent="0.3">
      <c r="K325" s="29"/>
      <c r="L325" s="29"/>
      <c r="M325" s="29"/>
    </row>
    <row r="326" spans="11:13" x14ac:dyDescent="0.3">
      <c r="K326" s="29"/>
      <c r="L326" s="29"/>
      <c r="M326" s="29"/>
    </row>
    <row r="327" spans="11:13" x14ac:dyDescent="0.3">
      <c r="K327" s="29"/>
      <c r="L327" s="29"/>
      <c r="M327" s="29"/>
    </row>
    <row r="328" spans="11:13" x14ac:dyDescent="0.3">
      <c r="K328" s="29"/>
      <c r="L328" s="29"/>
      <c r="M328" s="29"/>
    </row>
    <row r="329" spans="11:13" x14ac:dyDescent="0.3">
      <c r="K329" s="29"/>
      <c r="L329" s="29"/>
      <c r="M329" s="29"/>
    </row>
    <row r="330" spans="11:13" x14ac:dyDescent="0.3">
      <c r="K330" s="29"/>
      <c r="L330" s="29"/>
      <c r="M330" s="29"/>
    </row>
    <row r="331" spans="11:13" x14ac:dyDescent="0.3">
      <c r="K331" s="29"/>
      <c r="L331" s="29"/>
      <c r="M331" s="29"/>
    </row>
    <row r="332" spans="11:13" x14ac:dyDescent="0.3">
      <c r="K332" s="29"/>
      <c r="L332" s="29"/>
      <c r="M332" s="29"/>
    </row>
    <row r="333" spans="11:13" x14ac:dyDescent="0.3">
      <c r="K333" s="29"/>
      <c r="L333" s="29"/>
      <c r="M333" s="29"/>
    </row>
    <row r="334" spans="11:13" x14ac:dyDescent="0.3">
      <c r="K334" s="29"/>
      <c r="L334" s="29"/>
      <c r="M334" s="29"/>
    </row>
    <row r="335" spans="11:13" x14ac:dyDescent="0.3">
      <c r="K335" s="29"/>
      <c r="L335" s="29"/>
      <c r="M335" s="29"/>
    </row>
    <row r="336" spans="11:13" x14ac:dyDescent="0.3">
      <c r="K336" s="29"/>
      <c r="L336" s="29"/>
      <c r="M336" s="29"/>
    </row>
    <row r="337" spans="11:13" x14ac:dyDescent="0.3">
      <c r="K337" s="29"/>
      <c r="L337" s="29"/>
      <c r="M337" s="29"/>
    </row>
    <row r="338" spans="11:13" x14ac:dyDescent="0.3">
      <c r="K338" s="29"/>
      <c r="L338" s="29"/>
      <c r="M338" s="29"/>
    </row>
    <row r="339" spans="11:13" x14ac:dyDescent="0.3">
      <c r="K339" s="29"/>
      <c r="L339" s="29"/>
      <c r="M339" s="29"/>
    </row>
    <row r="340" spans="11:13" x14ac:dyDescent="0.3">
      <c r="K340" s="29"/>
      <c r="L340" s="29"/>
      <c r="M340" s="29"/>
    </row>
    <row r="341" spans="11:13" x14ac:dyDescent="0.3">
      <c r="K341" s="29"/>
      <c r="L341" s="29"/>
      <c r="M341" s="29"/>
    </row>
    <row r="342" spans="11:13" x14ac:dyDescent="0.3">
      <c r="K342" s="29"/>
      <c r="L342" s="29"/>
      <c r="M342" s="29"/>
    </row>
    <row r="343" spans="11:13" x14ac:dyDescent="0.3">
      <c r="K343" s="29"/>
      <c r="L343" s="29"/>
      <c r="M343" s="29"/>
    </row>
    <row r="344" spans="11:13" x14ac:dyDescent="0.3">
      <c r="K344" s="29"/>
      <c r="L344" s="29"/>
      <c r="M344" s="29"/>
    </row>
    <row r="345" spans="11:13" x14ac:dyDescent="0.3">
      <c r="K345" s="29"/>
      <c r="L345" s="29"/>
      <c r="M345" s="29"/>
    </row>
    <row r="346" spans="11:13" x14ac:dyDescent="0.3">
      <c r="K346" s="29"/>
      <c r="L346" s="29"/>
      <c r="M346" s="29"/>
    </row>
    <row r="347" spans="11:13" x14ac:dyDescent="0.3">
      <c r="K347" s="29"/>
      <c r="L347" s="29"/>
      <c r="M347" s="29"/>
    </row>
    <row r="348" spans="11:13" x14ac:dyDescent="0.3">
      <c r="K348" s="29"/>
      <c r="L348" s="29"/>
      <c r="M348" s="29"/>
    </row>
    <row r="349" spans="11:13" x14ac:dyDescent="0.3">
      <c r="K349" s="29"/>
      <c r="L349" s="29"/>
      <c r="M349" s="29"/>
    </row>
    <row r="350" spans="11:13" x14ac:dyDescent="0.3">
      <c r="K350" s="29"/>
      <c r="L350" s="29"/>
      <c r="M350" s="29"/>
    </row>
    <row r="351" spans="11:13" x14ac:dyDescent="0.3">
      <c r="K351" s="29"/>
      <c r="L351" s="29"/>
      <c r="M351" s="29"/>
    </row>
    <row r="352" spans="11:13" x14ac:dyDescent="0.3">
      <c r="K352" s="29"/>
      <c r="L352" s="29"/>
      <c r="M352" s="29"/>
    </row>
    <row r="353" spans="11:13" x14ac:dyDescent="0.3">
      <c r="K353" s="29"/>
      <c r="L353" s="29"/>
      <c r="M353" s="29"/>
    </row>
    <row r="354" spans="11:13" x14ac:dyDescent="0.3">
      <c r="K354" s="29"/>
      <c r="L354" s="29"/>
      <c r="M354" s="29"/>
    </row>
    <row r="355" spans="11:13" x14ac:dyDescent="0.3">
      <c r="K355" s="29"/>
      <c r="L355" s="29"/>
      <c r="M355" s="29"/>
    </row>
    <row r="356" spans="11:13" x14ac:dyDescent="0.3">
      <c r="K356" s="29"/>
      <c r="L356" s="29"/>
      <c r="M356" s="29"/>
    </row>
    <row r="357" spans="11:13" x14ac:dyDescent="0.3">
      <c r="K357" s="29"/>
      <c r="L357" s="29"/>
      <c r="M357" s="29"/>
    </row>
    <row r="358" spans="11:13" x14ac:dyDescent="0.3">
      <c r="K358" s="29"/>
      <c r="L358" s="29"/>
      <c r="M358" s="29"/>
    </row>
    <row r="359" spans="11:13" x14ac:dyDescent="0.3">
      <c r="K359" s="29"/>
      <c r="L359" s="29"/>
      <c r="M359" s="29"/>
    </row>
    <row r="360" spans="11:13" x14ac:dyDescent="0.3">
      <c r="K360" s="29"/>
      <c r="L360" s="29"/>
      <c r="M360" s="29"/>
    </row>
    <row r="361" spans="11:13" x14ac:dyDescent="0.3">
      <c r="K361" s="29"/>
      <c r="L361" s="29"/>
      <c r="M361" s="29"/>
    </row>
    <row r="362" spans="11:13" x14ac:dyDescent="0.3">
      <c r="K362" s="29"/>
      <c r="L362" s="29"/>
      <c r="M362" s="29"/>
    </row>
    <row r="363" spans="11:13" x14ac:dyDescent="0.3">
      <c r="K363" s="29"/>
      <c r="L363" s="29"/>
      <c r="M363" s="29"/>
    </row>
    <row r="364" spans="11:13" x14ac:dyDescent="0.3">
      <c r="K364" s="29"/>
      <c r="L364" s="29"/>
      <c r="M364" s="29"/>
    </row>
    <row r="365" spans="11:13" x14ac:dyDescent="0.3">
      <c r="K365" s="29"/>
      <c r="L365" s="29"/>
      <c r="M365" s="29"/>
    </row>
    <row r="366" spans="11:13" x14ac:dyDescent="0.3">
      <c r="K366" s="29"/>
      <c r="L366" s="29"/>
      <c r="M366" s="29"/>
    </row>
    <row r="367" spans="11:13" x14ac:dyDescent="0.3">
      <c r="K367" s="29"/>
      <c r="L367" s="29"/>
      <c r="M367" s="29"/>
    </row>
    <row r="368" spans="11:13" x14ac:dyDescent="0.3">
      <c r="K368" s="29"/>
      <c r="L368" s="29"/>
      <c r="M368" s="29"/>
    </row>
    <row r="369" spans="11:13" x14ac:dyDescent="0.3">
      <c r="K369" s="29"/>
      <c r="L369" s="29"/>
      <c r="M369" s="29"/>
    </row>
    <row r="370" spans="11:13" x14ac:dyDescent="0.3">
      <c r="K370" s="29"/>
      <c r="L370" s="29"/>
      <c r="M370" s="29"/>
    </row>
    <row r="371" spans="11:13" x14ac:dyDescent="0.3">
      <c r="K371" s="29"/>
      <c r="L371" s="29"/>
      <c r="M371" s="29"/>
    </row>
    <row r="372" spans="11:13" x14ac:dyDescent="0.3">
      <c r="K372" s="29"/>
      <c r="L372" s="29"/>
      <c r="M372" s="29"/>
    </row>
    <row r="373" spans="11:13" x14ac:dyDescent="0.3">
      <c r="K373" s="29"/>
      <c r="L373" s="29"/>
      <c r="M373" s="29"/>
    </row>
    <row r="374" spans="11:13" x14ac:dyDescent="0.3">
      <c r="K374" s="29"/>
      <c r="L374" s="29"/>
      <c r="M374" s="29"/>
    </row>
    <row r="375" spans="11:13" x14ac:dyDescent="0.3">
      <c r="K375" s="29"/>
      <c r="L375" s="29"/>
      <c r="M375" s="29"/>
    </row>
    <row r="376" spans="11:13" x14ac:dyDescent="0.3">
      <c r="K376" s="29"/>
      <c r="L376" s="29"/>
      <c r="M376" s="29"/>
    </row>
    <row r="377" spans="11:13" x14ac:dyDescent="0.3">
      <c r="K377" s="29"/>
      <c r="L377" s="29"/>
      <c r="M377" s="29"/>
    </row>
    <row r="378" spans="11:13" x14ac:dyDescent="0.3">
      <c r="K378" s="29"/>
      <c r="L378" s="29"/>
      <c r="M378" s="29"/>
    </row>
    <row r="379" spans="11:13" x14ac:dyDescent="0.3">
      <c r="K379" s="29"/>
      <c r="L379" s="29"/>
      <c r="M379" s="29"/>
    </row>
    <row r="380" spans="11:13" x14ac:dyDescent="0.3">
      <c r="K380" s="29"/>
      <c r="L380" s="29"/>
      <c r="M380" s="29"/>
    </row>
    <row r="381" spans="11:13" x14ac:dyDescent="0.3">
      <c r="K381" s="29"/>
      <c r="L381" s="29"/>
      <c r="M381" s="29"/>
    </row>
    <row r="382" spans="11:13" x14ac:dyDescent="0.3">
      <c r="K382" s="29"/>
      <c r="L382" s="29"/>
      <c r="M382" s="29"/>
    </row>
    <row r="383" spans="11:13" x14ac:dyDescent="0.3">
      <c r="K383" s="29"/>
      <c r="L383" s="29"/>
      <c r="M383" s="29"/>
    </row>
    <row r="384" spans="11:13" x14ac:dyDescent="0.3">
      <c r="K384" s="29"/>
      <c r="L384" s="29"/>
      <c r="M384" s="29"/>
    </row>
    <row r="385" spans="11:13" x14ac:dyDescent="0.3">
      <c r="K385" s="29"/>
      <c r="L385" s="29"/>
      <c r="M385" s="29"/>
    </row>
    <row r="386" spans="11:13" x14ac:dyDescent="0.3">
      <c r="K386" s="29"/>
      <c r="L386" s="29"/>
      <c r="M386" s="29"/>
    </row>
    <row r="387" spans="11:13" x14ac:dyDescent="0.3">
      <c r="K387" s="29"/>
      <c r="L387" s="29"/>
      <c r="M387" s="29"/>
    </row>
    <row r="388" spans="11:13" x14ac:dyDescent="0.3">
      <c r="K388" s="29"/>
      <c r="L388" s="29"/>
      <c r="M388" s="29"/>
    </row>
    <row r="389" spans="11:13" x14ac:dyDescent="0.3">
      <c r="K389" s="29"/>
      <c r="L389" s="29"/>
      <c r="M389" s="29"/>
    </row>
    <row r="390" spans="11:13" x14ac:dyDescent="0.3">
      <c r="K390" s="29"/>
      <c r="L390" s="29"/>
      <c r="M390" s="29"/>
    </row>
    <row r="391" spans="11:13" x14ac:dyDescent="0.3">
      <c r="K391" s="29"/>
      <c r="L391" s="29"/>
      <c r="M391" s="29"/>
    </row>
    <row r="392" spans="11:13" x14ac:dyDescent="0.3">
      <c r="K392" s="29"/>
      <c r="L392" s="29"/>
      <c r="M392" s="29"/>
    </row>
    <row r="393" spans="11:13" x14ac:dyDescent="0.3">
      <c r="K393" s="29"/>
      <c r="L393" s="29"/>
      <c r="M393" s="29"/>
    </row>
    <row r="394" spans="11:13" x14ac:dyDescent="0.3">
      <c r="K394" s="29"/>
      <c r="L394" s="29"/>
      <c r="M394" s="29"/>
    </row>
    <row r="395" spans="11:13" x14ac:dyDescent="0.3">
      <c r="K395" s="29"/>
      <c r="L395" s="29"/>
      <c r="M395" s="29"/>
    </row>
    <row r="396" spans="11:13" x14ac:dyDescent="0.3">
      <c r="K396" s="29"/>
      <c r="L396" s="29"/>
      <c r="M396" s="29"/>
    </row>
    <row r="397" spans="11:13" x14ac:dyDescent="0.3">
      <c r="K397" s="29"/>
      <c r="L397" s="29"/>
      <c r="M397" s="29"/>
    </row>
    <row r="398" spans="11:13" x14ac:dyDescent="0.3">
      <c r="K398" s="29"/>
      <c r="L398" s="29"/>
      <c r="M398" s="29"/>
    </row>
    <row r="399" spans="11:13" x14ac:dyDescent="0.3">
      <c r="K399" s="29"/>
      <c r="L399" s="29"/>
      <c r="M399" s="29"/>
    </row>
    <row r="400" spans="11:13" x14ac:dyDescent="0.3">
      <c r="K400" s="29"/>
      <c r="L400" s="29"/>
      <c r="M400" s="29"/>
    </row>
    <row r="401" spans="11:13" x14ac:dyDescent="0.3">
      <c r="K401" s="29"/>
      <c r="L401" s="29"/>
      <c r="M401" s="29"/>
    </row>
    <row r="402" spans="11:13" x14ac:dyDescent="0.3">
      <c r="K402" s="29"/>
      <c r="L402" s="29"/>
      <c r="M402" s="29"/>
    </row>
    <row r="403" spans="11:13" x14ac:dyDescent="0.3">
      <c r="K403" s="29"/>
      <c r="L403" s="29"/>
      <c r="M403" s="29"/>
    </row>
    <row r="404" spans="11:13" x14ac:dyDescent="0.3">
      <c r="K404" s="29"/>
      <c r="L404" s="29"/>
      <c r="M404" s="29"/>
    </row>
    <row r="405" spans="11:13" x14ac:dyDescent="0.3">
      <c r="K405" s="29"/>
      <c r="L405" s="29"/>
      <c r="M405" s="29"/>
    </row>
    <row r="406" spans="11:13" x14ac:dyDescent="0.3">
      <c r="K406" s="29"/>
      <c r="L406" s="29"/>
      <c r="M406" s="29"/>
    </row>
    <row r="407" spans="11:13" x14ac:dyDescent="0.3">
      <c r="K407" s="29"/>
      <c r="L407" s="29"/>
      <c r="M407" s="29"/>
    </row>
    <row r="408" spans="11:13" x14ac:dyDescent="0.3">
      <c r="K408" s="29"/>
      <c r="L408" s="29"/>
      <c r="M408" s="29"/>
    </row>
    <row r="409" spans="11:13" x14ac:dyDescent="0.3">
      <c r="K409" s="29"/>
      <c r="L409" s="29"/>
      <c r="M409" s="29"/>
    </row>
    <row r="410" spans="11:13" x14ac:dyDescent="0.3">
      <c r="K410" s="29"/>
      <c r="L410" s="29"/>
      <c r="M410" s="29"/>
    </row>
    <row r="411" spans="11:13" x14ac:dyDescent="0.3">
      <c r="K411" s="29"/>
      <c r="L411" s="29"/>
      <c r="M411" s="29"/>
    </row>
    <row r="412" spans="11:13" x14ac:dyDescent="0.3">
      <c r="K412" s="29"/>
      <c r="L412" s="29"/>
      <c r="M412" s="29"/>
    </row>
    <row r="413" spans="11:13" x14ac:dyDescent="0.3">
      <c r="K413" s="29"/>
      <c r="L413" s="29"/>
      <c r="M413" s="29"/>
    </row>
    <row r="414" spans="11:13" x14ac:dyDescent="0.3">
      <c r="K414" s="29"/>
      <c r="L414" s="29"/>
      <c r="M414" s="29"/>
    </row>
    <row r="415" spans="11:13" x14ac:dyDescent="0.3">
      <c r="K415" s="29"/>
      <c r="L415" s="29"/>
      <c r="M415" s="29"/>
    </row>
    <row r="416" spans="11:13" x14ac:dyDescent="0.3">
      <c r="K416" s="29"/>
      <c r="L416" s="29"/>
      <c r="M416" s="29"/>
    </row>
    <row r="417" spans="11:13" x14ac:dyDescent="0.3">
      <c r="K417" s="29"/>
      <c r="L417" s="29"/>
      <c r="M417" s="29"/>
    </row>
    <row r="418" spans="11:13" x14ac:dyDescent="0.3">
      <c r="K418" s="29"/>
      <c r="L418" s="29"/>
      <c r="M418" s="29"/>
    </row>
    <row r="419" spans="11:13" x14ac:dyDescent="0.3">
      <c r="K419" s="29"/>
      <c r="L419" s="29"/>
      <c r="M419" s="29"/>
    </row>
    <row r="420" spans="11:13" x14ac:dyDescent="0.3">
      <c r="K420" s="29"/>
      <c r="L420" s="29"/>
      <c r="M420" s="29"/>
    </row>
    <row r="421" spans="11:13" x14ac:dyDescent="0.3">
      <c r="K421" s="29"/>
      <c r="L421" s="29"/>
      <c r="M421" s="29"/>
    </row>
    <row r="422" spans="11:13" x14ac:dyDescent="0.3">
      <c r="K422" s="29"/>
      <c r="L422" s="29"/>
      <c r="M422" s="29"/>
    </row>
    <row r="423" spans="11:13" x14ac:dyDescent="0.3">
      <c r="K423" s="29"/>
      <c r="L423" s="29"/>
      <c r="M423" s="29"/>
    </row>
    <row r="424" spans="11:13" x14ac:dyDescent="0.3">
      <c r="K424" s="29"/>
      <c r="L424" s="29"/>
      <c r="M424" s="29"/>
    </row>
    <row r="425" spans="11:13" x14ac:dyDescent="0.3">
      <c r="K425" s="29"/>
      <c r="L425" s="29"/>
      <c r="M425" s="29"/>
    </row>
    <row r="426" spans="11:13" x14ac:dyDescent="0.3">
      <c r="K426" s="29"/>
      <c r="L426" s="29"/>
      <c r="M426" s="29"/>
    </row>
    <row r="427" spans="11:13" x14ac:dyDescent="0.3">
      <c r="K427" s="29"/>
      <c r="L427" s="29"/>
      <c r="M427" s="29"/>
    </row>
    <row r="428" spans="11:13" x14ac:dyDescent="0.3">
      <c r="K428" s="29"/>
      <c r="L428" s="29"/>
      <c r="M428" s="29"/>
    </row>
    <row r="429" spans="11:13" x14ac:dyDescent="0.3">
      <c r="K429" s="29"/>
      <c r="L429" s="29"/>
      <c r="M429" s="29"/>
    </row>
    <row r="430" spans="11:13" x14ac:dyDescent="0.3">
      <c r="K430" s="29"/>
      <c r="L430" s="29"/>
      <c r="M430" s="29"/>
    </row>
    <row r="431" spans="11:13" x14ac:dyDescent="0.3">
      <c r="K431" s="29"/>
      <c r="L431" s="29"/>
      <c r="M431" s="29"/>
    </row>
    <row r="432" spans="11:13" x14ac:dyDescent="0.3">
      <c r="K432" s="29"/>
      <c r="L432" s="29"/>
      <c r="M432" s="29"/>
    </row>
    <row r="433" spans="11:13" x14ac:dyDescent="0.3">
      <c r="K433" s="29"/>
      <c r="L433" s="29"/>
      <c r="M433" s="29"/>
    </row>
    <row r="434" spans="11:13" x14ac:dyDescent="0.3">
      <c r="K434" s="29"/>
      <c r="L434" s="29"/>
      <c r="M434" s="29"/>
    </row>
    <row r="435" spans="11:13" x14ac:dyDescent="0.3">
      <c r="K435" s="29"/>
      <c r="L435" s="29"/>
      <c r="M435" s="29"/>
    </row>
    <row r="436" spans="11:13" x14ac:dyDescent="0.3">
      <c r="K436" s="29"/>
      <c r="L436" s="29"/>
      <c r="M436" s="29"/>
    </row>
    <row r="437" spans="11:13" x14ac:dyDescent="0.3">
      <c r="K437" s="29"/>
      <c r="L437" s="29"/>
      <c r="M437" s="29"/>
    </row>
    <row r="438" spans="11:13" x14ac:dyDescent="0.3">
      <c r="K438" s="29"/>
      <c r="L438" s="29"/>
      <c r="M438" s="29"/>
    </row>
    <row r="439" spans="11:13" x14ac:dyDescent="0.3">
      <c r="K439" s="29"/>
      <c r="L439" s="29"/>
      <c r="M439" s="29"/>
    </row>
    <row r="440" spans="11:13" x14ac:dyDescent="0.3">
      <c r="K440" s="29"/>
      <c r="L440" s="29"/>
      <c r="M440" s="29"/>
    </row>
    <row r="441" spans="11:13" x14ac:dyDescent="0.3">
      <c r="K441" s="29"/>
      <c r="L441" s="29"/>
      <c r="M441" s="29"/>
    </row>
    <row r="442" spans="11:13" x14ac:dyDescent="0.3">
      <c r="K442" s="29"/>
      <c r="L442" s="29"/>
      <c r="M442" s="29"/>
    </row>
    <row r="443" spans="11:13" x14ac:dyDescent="0.3">
      <c r="K443" s="29"/>
      <c r="L443" s="29"/>
      <c r="M443" s="29"/>
    </row>
    <row r="444" spans="11:13" x14ac:dyDescent="0.3">
      <c r="K444" s="29"/>
      <c r="L444" s="29"/>
      <c r="M444" s="29"/>
    </row>
    <row r="445" spans="11:13" x14ac:dyDescent="0.3">
      <c r="K445" s="29"/>
      <c r="L445" s="29"/>
      <c r="M445" s="29"/>
    </row>
    <row r="446" spans="11:13" x14ac:dyDescent="0.3">
      <c r="K446" s="29"/>
      <c r="L446" s="29"/>
      <c r="M446" s="29"/>
    </row>
    <row r="447" spans="11:13" x14ac:dyDescent="0.3">
      <c r="K447" s="29"/>
      <c r="L447" s="29"/>
      <c r="M447" s="29"/>
    </row>
    <row r="448" spans="11:13" x14ac:dyDescent="0.3">
      <c r="K448" s="29"/>
      <c r="L448" s="29"/>
      <c r="M448" s="29"/>
    </row>
    <row r="449" spans="11:13" x14ac:dyDescent="0.3">
      <c r="K449" s="29"/>
      <c r="L449" s="29"/>
      <c r="M449" s="29"/>
    </row>
    <row r="450" spans="11:13" x14ac:dyDescent="0.3">
      <c r="K450" s="29"/>
      <c r="L450" s="29"/>
      <c r="M450" s="29"/>
    </row>
    <row r="451" spans="11:13" x14ac:dyDescent="0.3">
      <c r="K451" s="29"/>
      <c r="L451" s="29"/>
      <c r="M451" s="29"/>
    </row>
    <row r="452" spans="11:13" x14ac:dyDescent="0.3">
      <c r="K452" s="29"/>
      <c r="L452" s="29"/>
      <c r="M452" s="29"/>
    </row>
    <row r="453" spans="11:13" x14ac:dyDescent="0.3">
      <c r="K453" s="29"/>
      <c r="L453" s="29"/>
      <c r="M453" s="29"/>
    </row>
    <row r="454" spans="11:13" x14ac:dyDescent="0.3">
      <c r="K454" s="29"/>
      <c r="L454" s="29"/>
      <c r="M454" s="29"/>
    </row>
    <row r="455" spans="11:13" x14ac:dyDescent="0.3">
      <c r="K455" s="29"/>
      <c r="L455" s="29"/>
      <c r="M455" s="29"/>
    </row>
    <row r="456" spans="11:13" x14ac:dyDescent="0.3">
      <c r="K456" s="29"/>
      <c r="L456" s="29"/>
      <c r="M456" s="29"/>
    </row>
    <row r="457" spans="11:13" x14ac:dyDescent="0.3">
      <c r="K457" s="29"/>
      <c r="L457" s="29"/>
      <c r="M457" s="29"/>
    </row>
    <row r="458" spans="11:13" x14ac:dyDescent="0.3">
      <c r="K458" s="29"/>
      <c r="L458" s="29"/>
      <c r="M458" s="29"/>
    </row>
    <row r="459" spans="11:13" x14ac:dyDescent="0.3">
      <c r="K459" s="29"/>
      <c r="L459" s="29"/>
      <c r="M459" s="29"/>
    </row>
    <row r="460" spans="11:13" x14ac:dyDescent="0.3">
      <c r="K460" s="29"/>
      <c r="L460" s="29"/>
      <c r="M460" s="29"/>
    </row>
    <row r="461" spans="11:13" x14ac:dyDescent="0.3">
      <c r="K461" s="29"/>
      <c r="L461" s="29"/>
      <c r="M461" s="29"/>
    </row>
    <row r="462" spans="11:13" x14ac:dyDescent="0.3">
      <c r="K462" s="29"/>
      <c r="L462" s="29"/>
      <c r="M462" s="29"/>
    </row>
    <row r="463" spans="11:13" x14ac:dyDescent="0.3">
      <c r="K463" s="29"/>
      <c r="L463" s="29"/>
      <c r="M463" s="29"/>
    </row>
    <row r="464" spans="11:13" x14ac:dyDescent="0.3">
      <c r="K464" s="29"/>
      <c r="L464" s="29"/>
      <c r="M464" s="29"/>
    </row>
    <row r="465" spans="11:13" x14ac:dyDescent="0.3">
      <c r="K465" s="29"/>
      <c r="L465" s="29"/>
      <c r="M465" s="29"/>
    </row>
    <row r="466" spans="11:13" x14ac:dyDescent="0.3">
      <c r="K466" s="29"/>
      <c r="L466" s="29"/>
      <c r="M466" s="29"/>
    </row>
    <row r="467" spans="11:13" x14ac:dyDescent="0.3">
      <c r="K467" s="29"/>
      <c r="L467" s="29"/>
      <c r="M467" s="29"/>
    </row>
    <row r="468" spans="11:13" x14ac:dyDescent="0.3">
      <c r="K468" s="29"/>
      <c r="L468" s="29"/>
      <c r="M468" s="29"/>
    </row>
    <row r="469" spans="11:13" x14ac:dyDescent="0.3">
      <c r="K469" s="29"/>
      <c r="L469" s="29"/>
      <c r="M469" s="29"/>
    </row>
    <row r="470" spans="11:13" x14ac:dyDescent="0.3">
      <c r="K470" s="29"/>
      <c r="L470" s="29"/>
      <c r="M470" s="29"/>
    </row>
    <row r="471" spans="11:13" x14ac:dyDescent="0.3">
      <c r="K471" s="29"/>
      <c r="L471" s="29"/>
      <c r="M471" s="29"/>
    </row>
    <row r="472" spans="11:13" x14ac:dyDescent="0.3">
      <c r="K472" s="29"/>
      <c r="L472" s="29"/>
      <c r="M472" s="29"/>
    </row>
    <row r="473" spans="11:13" x14ac:dyDescent="0.3">
      <c r="K473" s="29"/>
      <c r="L473" s="29"/>
      <c r="M473" s="29"/>
    </row>
    <row r="474" spans="11:13" x14ac:dyDescent="0.3">
      <c r="K474" s="29"/>
      <c r="L474" s="29"/>
      <c r="M474" s="29"/>
    </row>
    <row r="475" spans="11:13" x14ac:dyDescent="0.3">
      <c r="K475" s="29"/>
      <c r="L475" s="29"/>
      <c r="M475" s="29"/>
    </row>
    <row r="476" spans="11:13" x14ac:dyDescent="0.3">
      <c r="K476" s="29"/>
      <c r="L476" s="29"/>
      <c r="M476" s="29"/>
    </row>
    <row r="477" spans="11:13" x14ac:dyDescent="0.3">
      <c r="K477" s="29"/>
      <c r="L477" s="29"/>
      <c r="M477" s="29"/>
    </row>
    <row r="478" spans="11:13" x14ac:dyDescent="0.3">
      <c r="K478" s="29"/>
      <c r="L478" s="29"/>
      <c r="M478" s="29"/>
    </row>
    <row r="479" spans="11:13" x14ac:dyDescent="0.3">
      <c r="K479" s="29"/>
      <c r="L479" s="29"/>
      <c r="M479" s="29"/>
    </row>
    <row r="480" spans="11:13" x14ac:dyDescent="0.3">
      <c r="K480" s="29"/>
      <c r="L480" s="29"/>
      <c r="M480" s="29"/>
    </row>
    <row r="481" spans="11:13" x14ac:dyDescent="0.3">
      <c r="K481" s="29"/>
      <c r="L481" s="29"/>
      <c r="M481" s="29"/>
    </row>
    <row r="482" spans="11:13" x14ac:dyDescent="0.3">
      <c r="K482" s="29"/>
      <c r="L482" s="29"/>
      <c r="M482" s="29"/>
    </row>
    <row r="483" spans="11:13" x14ac:dyDescent="0.3">
      <c r="K483" s="29"/>
      <c r="L483" s="29"/>
      <c r="M483" s="29"/>
    </row>
    <row r="484" spans="11:13" x14ac:dyDescent="0.3">
      <c r="K484" s="29"/>
      <c r="L484" s="29"/>
      <c r="M484" s="29"/>
    </row>
    <row r="485" spans="11:13" x14ac:dyDescent="0.3">
      <c r="K485" s="29"/>
      <c r="L485" s="29"/>
      <c r="M485" s="29"/>
    </row>
    <row r="486" spans="11:13" x14ac:dyDescent="0.3">
      <c r="K486" s="29"/>
      <c r="L486" s="29"/>
      <c r="M486" s="29"/>
    </row>
    <row r="487" spans="11:13" x14ac:dyDescent="0.3">
      <c r="K487" s="29"/>
      <c r="L487" s="29"/>
      <c r="M487" s="29"/>
    </row>
    <row r="488" spans="11:13" x14ac:dyDescent="0.3">
      <c r="K488" s="29"/>
      <c r="L488" s="29"/>
      <c r="M488" s="29"/>
    </row>
    <row r="489" spans="11:13" x14ac:dyDescent="0.3">
      <c r="K489" s="29"/>
      <c r="L489" s="29"/>
      <c r="M489" s="29"/>
    </row>
    <row r="490" spans="11:13" x14ac:dyDescent="0.3">
      <c r="K490" s="29"/>
      <c r="L490" s="29"/>
      <c r="M490" s="29"/>
    </row>
    <row r="491" spans="11:13" x14ac:dyDescent="0.3">
      <c r="K491" s="29"/>
      <c r="L491" s="29"/>
      <c r="M491" s="29"/>
    </row>
    <row r="492" spans="11:13" x14ac:dyDescent="0.3">
      <c r="K492" s="29"/>
      <c r="L492" s="29"/>
      <c r="M492" s="29"/>
    </row>
    <row r="493" spans="11:13" x14ac:dyDescent="0.3">
      <c r="K493" s="29"/>
      <c r="L493" s="29"/>
      <c r="M493" s="29"/>
    </row>
    <row r="494" spans="11:13" x14ac:dyDescent="0.3">
      <c r="K494" s="29"/>
      <c r="L494" s="29"/>
      <c r="M494" s="29"/>
    </row>
    <row r="495" spans="11:13" x14ac:dyDescent="0.3">
      <c r="K495" s="29"/>
      <c r="L495" s="29"/>
      <c r="M495" s="29"/>
    </row>
    <row r="496" spans="11:13" x14ac:dyDescent="0.3">
      <c r="K496" s="29"/>
      <c r="L496" s="29"/>
      <c r="M496" s="29"/>
    </row>
    <row r="497" spans="11:13" x14ac:dyDescent="0.3">
      <c r="K497" s="29"/>
      <c r="L497" s="29"/>
      <c r="M497" s="29"/>
    </row>
    <row r="498" spans="11:13" x14ac:dyDescent="0.3">
      <c r="K498" s="29"/>
      <c r="L498" s="29"/>
      <c r="M498" s="29"/>
    </row>
    <row r="499" spans="11:13" x14ac:dyDescent="0.3">
      <c r="K499" s="29"/>
      <c r="L499" s="29"/>
      <c r="M499" s="29"/>
    </row>
    <row r="500" spans="11:13" x14ac:dyDescent="0.3">
      <c r="K500" s="29"/>
      <c r="L500" s="29"/>
      <c r="M500" s="29"/>
    </row>
    <row r="501" spans="11:13" x14ac:dyDescent="0.3">
      <c r="K501" s="29"/>
      <c r="L501" s="29"/>
      <c r="M501" s="29"/>
    </row>
    <row r="502" spans="11:13" x14ac:dyDescent="0.3">
      <c r="K502" s="29"/>
      <c r="L502" s="29"/>
      <c r="M502" s="29"/>
    </row>
    <row r="503" spans="11:13" x14ac:dyDescent="0.3">
      <c r="K503" s="29"/>
      <c r="L503" s="29"/>
      <c r="M503" s="29"/>
    </row>
    <row r="504" spans="11:13" x14ac:dyDescent="0.3">
      <c r="K504" s="29"/>
      <c r="L504" s="29"/>
      <c r="M504" s="29"/>
    </row>
    <row r="505" spans="11:13" x14ac:dyDescent="0.3">
      <c r="K505" s="29"/>
      <c r="L505" s="29"/>
      <c r="M505" s="29"/>
    </row>
    <row r="506" spans="11:13" x14ac:dyDescent="0.3">
      <c r="K506" s="29"/>
      <c r="L506" s="29"/>
      <c r="M506" s="29"/>
    </row>
    <row r="507" spans="11:13" x14ac:dyDescent="0.3">
      <c r="K507" s="29"/>
      <c r="L507" s="29"/>
      <c r="M507" s="29"/>
    </row>
    <row r="508" spans="11:13" x14ac:dyDescent="0.3">
      <c r="K508" s="29"/>
      <c r="L508" s="29"/>
      <c r="M508" s="29"/>
    </row>
    <row r="509" spans="11:13" x14ac:dyDescent="0.3">
      <c r="K509" s="29"/>
      <c r="L509" s="29"/>
      <c r="M509" s="29"/>
    </row>
    <row r="510" spans="11:13" x14ac:dyDescent="0.3">
      <c r="K510" s="29"/>
      <c r="L510" s="29"/>
      <c r="M510" s="29"/>
    </row>
    <row r="511" spans="11:13" x14ac:dyDescent="0.3">
      <c r="K511" s="29"/>
      <c r="L511" s="29"/>
      <c r="M511" s="29"/>
    </row>
  </sheetData>
  <sheetProtection algorithmName="SHA-512" hashValue="r+WW78l8uo/rtvphmokkJb168eDf7TdQMfDU7V2nDVe5DKpzScY/9i9seyw5CITMiu+t0Yqn3Olat9eqeF1anA==" saltValue="A4p5TbDm33olP6NbQWgPNg==" spinCount="100000" sheet="1" objects="1" scenarios="1"/>
  <sortState xmlns:xlrd2="http://schemas.microsoft.com/office/spreadsheetml/2017/richdata2" ref="A25:AB264">
    <sortCondition ref="H25:H264"/>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6C711-4838-491E-ACB1-3B453C989D55}">
  <dimension ref="A1:W112"/>
  <sheetViews>
    <sheetView workbookViewId="0">
      <selection activeCell="G14" sqref="G14"/>
    </sheetView>
  </sheetViews>
  <sheetFormatPr defaultColWidth="8.8984375" defaultRowHeight="14.5" x14ac:dyDescent="0.35"/>
  <cols>
    <col min="1" max="1" width="27.09765625" style="43" bestFit="1" customWidth="1"/>
    <col min="2" max="2" width="25.09765625" style="43" customWidth="1"/>
    <col min="3" max="3" width="25.69921875" style="43" customWidth="1"/>
    <col min="4" max="4" width="19.3984375" style="43" customWidth="1"/>
    <col min="5" max="5" width="22.3984375" style="43" bestFit="1" customWidth="1"/>
    <col min="6" max="6" width="23.8984375" style="43" customWidth="1"/>
    <col min="7" max="7" width="34" style="43" customWidth="1"/>
    <col min="8" max="8" width="20.69921875" style="43" customWidth="1"/>
    <col min="9" max="9" width="33.09765625" style="43" bestFit="1" customWidth="1"/>
    <col min="10" max="10" width="15.296875" style="43" customWidth="1"/>
    <col min="11" max="11" width="22.69921875" style="43" bestFit="1" customWidth="1"/>
    <col min="12" max="12" width="8.8984375" style="43"/>
    <col min="13" max="13" width="19.69921875" style="43" customWidth="1"/>
    <col min="14" max="14" width="21.59765625" style="43" customWidth="1"/>
    <col min="15" max="16384" width="8.8984375" style="43"/>
  </cols>
  <sheetData>
    <row r="1" spans="1:12" x14ac:dyDescent="0.35">
      <c r="A1" s="42" t="s">
        <v>182</v>
      </c>
      <c r="B1" s="42" t="s">
        <v>181</v>
      </c>
      <c r="C1" s="42" t="s">
        <v>180</v>
      </c>
      <c r="D1" s="42" t="s">
        <v>179</v>
      </c>
      <c r="E1" s="42" t="s">
        <v>135</v>
      </c>
      <c r="F1" s="42" t="s">
        <v>178</v>
      </c>
      <c r="G1" s="42" t="s">
        <v>177</v>
      </c>
      <c r="H1" s="42" t="s">
        <v>108</v>
      </c>
      <c r="J1" s="42"/>
      <c r="K1" s="42"/>
    </row>
    <row r="2" spans="1:12" x14ac:dyDescent="0.35">
      <c r="A2" s="80" t="s">
        <v>320</v>
      </c>
      <c r="B2" s="43" t="s">
        <v>173</v>
      </c>
      <c r="C2" s="43" t="s">
        <v>166</v>
      </c>
      <c r="D2" s="43" t="s">
        <v>140</v>
      </c>
      <c r="E2" s="80" t="s">
        <v>221</v>
      </c>
      <c r="F2" s="43" t="s">
        <v>176</v>
      </c>
      <c r="G2" s="43" t="s">
        <v>114</v>
      </c>
      <c r="H2" s="43" t="s">
        <v>102</v>
      </c>
      <c r="L2" s="44"/>
    </row>
    <row r="3" spans="1:12" x14ac:dyDescent="0.35">
      <c r="A3" s="43" t="s">
        <v>162</v>
      </c>
      <c r="B3" s="80" t="s">
        <v>224</v>
      </c>
      <c r="C3" s="43" t="s">
        <v>164</v>
      </c>
      <c r="D3" s="43" t="s">
        <v>139</v>
      </c>
      <c r="E3" s="43" t="s">
        <v>128</v>
      </c>
      <c r="F3" s="43" t="s">
        <v>175</v>
      </c>
      <c r="G3" s="43" t="s">
        <v>113</v>
      </c>
      <c r="H3" s="43" t="s">
        <v>101</v>
      </c>
      <c r="L3" s="44"/>
    </row>
    <row r="4" spans="1:12" x14ac:dyDescent="0.35">
      <c r="A4" s="43" t="s">
        <v>166</v>
      </c>
      <c r="B4" s="43" t="s">
        <v>171</v>
      </c>
      <c r="C4" s="80" t="s">
        <v>224</v>
      </c>
      <c r="D4" s="43" t="s">
        <v>138</v>
      </c>
      <c r="E4" s="43" t="s">
        <v>127</v>
      </c>
      <c r="F4" s="43" t="s">
        <v>174</v>
      </c>
      <c r="G4" s="43" t="s">
        <v>112</v>
      </c>
      <c r="H4" s="43" t="s">
        <v>100</v>
      </c>
    </row>
    <row r="5" spans="1:12" x14ac:dyDescent="0.35">
      <c r="A5" s="43" t="s">
        <v>173</v>
      </c>
      <c r="B5" s="80" t="s">
        <v>335</v>
      </c>
      <c r="C5" s="43" t="s">
        <v>171</v>
      </c>
      <c r="D5" s="43" t="s">
        <v>137</v>
      </c>
      <c r="E5" s="43" t="s">
        <v>137</v>
      </c>
      <c r="F5" s="43" t="s">
        <v>137</v>
      </c>
      <c r="G5" s="43" t="s">
        <v>137</v>
      </c>
      <c r="H5" s="43" t="s">
        <v>99</v>
      </c>
    </row>
    <row r="6" spans="1:12" x14ac:dyDescent="0.35">
      <c r="A6" s="43" t="s">
        <v>163</v>
      </c>
      <c r="B6" s="43" t="s">
        <v>169</v>
      </c>
      <c r="C6" s="80" t="s">
        <v>335</v>
      </c>
      <c r="H6" s="43" t="s">
        <v>98</v>
      </c>
    </row>
    <row r="7" spans="1:12" x14ac:dyDescent="0.35">
      <c r="A7" s="43" t="s">
        <v>171</v>
      </c>
      <c r="B7" s="43" t="s">
        <v>168</v>
      </c>
      <c r="C7" s="43" t="s">
        <v>169</v>
      </c>
      <c r="H7" s="43" t="s">
        <v>137</v>
      </c>
    </row>
    <row r="8" spans="1:12" x14ac:dyDescent="0.35">
      <c r="A8" s="80" t="s">
        <v>335</v>
      </c>
      <c r="B8" s="43" t="s">
        <v>167</v>
      </c>
      <c r="C8" s="43" t="s">
        <v>168</v>
      </c>
    </row>
    <row r="9" spans="1:12" x14ac:dyDescent="0.35">
      <c r="A9" s="43" t="s">
        <v>169</v>
      </c>
      <c r="B9" s="80" t="s">
        <v>165</v>
      </c>
      <c r="C9" s="43" t="s">
        <v>167</v>
      </c>
    </row>
    <row r="10" spans="1:12" x14ac:dyDescent="0.35">
      <c r="A10" s="43" t="s">
        <v>168</v>
      </c>
      <c r="B10" s="43" t="s">
        <v>137</v>
      </c>
      <c r="C10" s="80" t="s">
        <v>165</v>
      </c>
    </row>
    <row r="11" spans="1:12" x14ac:dyDescent="0.35">
      <c r="A11" s="43" t="s">
        <v>167</v>
      </c>
      <c r="C11" s="43" t="s">
        <v>137</v>
      </c>
    </row>
    <row r="12" spans="1:12" x14ac:dyDescent="0.35">
      <c r="A12" s="80" t="s">
        <v>165</v>
      </c>
    </row>
    <row r="13" spans="1:12" x14ac:dyDescent="0.35">
      <c r="A13" s="43" t="s">
        <v>137</v>
      </c>
    </row>
    <row r="15" spans="1:12" x14ac:dyDescent="0.35">
      <c r="A15" s="42" t="s">
        <v>196</v>
      </c>
    </row>
    <row r="16" spans="1:12" x14ac:dyDescent="0.35">
      <c r="A16" s="49" t="str">
        <f>A1</f>
        <v>Gevelisolatie</v>
      </c>
      <c r="B16" s="49" t="str">
        <f>B1</f>
        <v>Dakisolatie</v>
      </c>
      <c r="C16" s="49" t="str">
        <f>C1</f>
        <v>Vloer_of_Bodemisolatie</v>
      </c>
      <c r="D16" s="49" t="str">
        <f>D1</f>
        <v>Isolatieglas</v>
      </c>
      <c r="E16" s="49" t="str">
        <f>E1</f>
        <v>Kozijn</v>
      </c>
    </row>
    <row r="17" spans="1:5" x14ac:dyDescent="0.35">
      <c r="A17" s="48">
        <f>B27</f>
        <v>2.1800000000000002</v>
      </c>
      <c r="B17" s="48">
        <f>G58</f>
        <v>2.511136836238129</v>
      </c>
      <c r="C17" s="48">
        <f>G58</f>
        <v>2.511136836238129</v>
      </c>
      <c r="D17" s="63">
        <f>B79*2</f>
        <v>103.80084449021628</v>
      </c>
      <c r="E17" s="56">
        <f>I87</f>
        <v>-83.71569599999998</v>
      </c>
    </row>
    <row r="18" spans="1:5" x14ac:dyDescent="0.35">
      <c r="A18" s="47" t="s">
        <v>130</v>
      </c>
      <c r="B18" s="47" t="s">
        <v>130</v>
      </c>
      <c r="C18" s="47" t="s">
        <v>130</v>
      </c>
      <c r="D18" s="47" t="s">
        <v>130</v>
      </c>
      <c r="E18" s="47" t="s">
        <v>130</v>
      </c>
    </row>
    <row r="19" spans="1:5" ht="43.5" x14ac:dyDescent="0.35">
      <c r="A19" s="64"/>
      <c r="B19" s="64"/>
      <c r="C19" s="64"/>
      <c r="D19" s="105" t="s">
        <v>319</v>
      </c>
      <c r="E19" s="47"/>
    </row>
    <row r="21" spans="1:5" x14ac:dyDescent="0.35">
      <c r="A21" s="42" t="s">
        <v>194</v>
      </c>
      <c r="B21" s="46" t="s">
        <v>130</v>
      </c>
      <c r="C21" s="46" t="s">
        <v>195</v>
      </c>
    </row>
    <row r="22" spans="1:5" x14ac:dyDescent="0.35">
      <c r="A22" s="43" t="str">
        <f t="shared" ref="A22:B24" si="0">A46</f>
        <v>Airofill</v>
      </c>
      <c r="B22" s="48">
        <f t="shared" si="0"/>
        <v>0.16385207999999998</v>
      </c>
    </row>
    <row r="23" spans="1:5" x14ac:dyDescent="0.35">
      <c r="A23" s="43" t="str">
        <f t="shared" si="0"/>
        <v>BIO-EPS</v>
      </c>
      <c r="B23" s="48">
        <f t="shared" si="0"/>
        <v>1.7426900584795322</v>
      </c>
    </row>
    <row r="24" spans="1:5" x14ac:dyDescent="0.35">
      <c r="A24" s="43" t="str">
        <f t="shared" si="0"/>
        <v>Cellulose</v>
      </c>
      <c r="B24" s="43">
        <f t="shared" si="0"/>
        <v>1.8399999999999999</v>
      </c>
    </row>
    <row r="25" spans="1:5" x14ac:dyDescent="0.35">
      <c r="A25" s="43" t="s">
        <v>173</v>
      </c>
      <c r="B25" s="43">
        <f>B49</f>
        <v>3.6031746031746033</v>
      </c>
    </row>
    <row r="26" spans="1:5" x14ac:dyDescent="0.35">
      <c r="A26" s="43" t="str">
        <f>A50</f>
        <v>EPS bodemparels</v>
      </c>
      <c r="B26" s="43">
        <f>B50</f>
        <v>2.0114942528735633</v>
      </c>
    </row>
    <row r="27" spans="1:5" x14ac:dyDescent="0.35">
      <c r="A27" s="43" t="str">
        <f>A51</f>
        <v>EPS spouwparels</v>
      </c>
      <c r="B27" s="43">
        <f>B51</f>
        <v>2.1800000000000002</v>
      </c>
    </row>
    <row r="28" spans="1:5" x14ac:dyDescent="0.35">
      <c r="A28" s="43" t="str">
        <f>A52</f>
        <v>Folie/thermokussens</v>
      </c>
      <c r="B28" s="43">
        <f>B52</f>
        <v>0.35428571428571426</v>
      </c>
    </row>
    <row r="29" spans="1:5" x14ac:dyDescent="0.35">
      <c r="A29" s="43" t="str">
        <f>A53</f>
        <v>Glaswol</v>
      </c>
      <c r="B29" s="43">
        <f>B53</f>
        <v>1.1690140845070425</v>
      </c>
    </row>
    <row r="30" spans="1:5" x14ac:dyDescent="0.35">
      <c r="A30" s="80" t="s">
        <v>335</v>
      </c>
      <c r="B30" s="43">
        <v>0.16085790884718465</v>
      </c>
      <c r="C30" s="80" t="s">
        <v>336</v>
      </c>
    </row>
    <row r="31" spans="1:5" x14ac:dyDescent="0.35">
      <c r="A31" s="43" t="str">
        <f t="shared" ref="A31:B34" si="1">A54</f>
        <v>Houtvezelplaat</v>
      </c>
      <c r="B31" s="43">
        <f t="shared" si="1"/>
        <v>0.73239436619718312</v>
      </c>
    </row>
    <row r="32" spans="1:5" x14ac:dyDescent="0.35">
      <c r="A32" s="43" t="str">
        <f t="shared" si="1"/>
        <v>PUR schuim</v>
      </c>
      <c r="B32" s="43">
        <f t="shared" si="1"/>
        <v>10.711538461538462</v>
      </c>
    </row>
    <row r="33" spans="1:11" x14ac:dyDescent="0.35">
      <c r="A33" s="43" t="str">
        <f t="shared" si="1"/>
        <v>PUR/PIR platen</v>
      </c>
      <c r="B33" s="43">
        <f t="shared" si="1"/>
        <v>3.242506811989101</v>
      </c>
    </row>
    <row r="34" spans="1:11" x14ac:dyDescent="0.35">
      <c r="A34" s="43" t="str">
        <f t="shared" si="1"/>
        <v>Vlasisolatie</v>
      </c>
      <c r="B34" s="43">
        <f t="shared" si="1"/>
        <v>2.0338028169014084</v>
      </c>
    </row>
    <row r="35" spans="1:11" x14ac:dyDescent="0.35">
      <c r="A35" s="43" t="str">
        <f t="shared" ref="A35:A37" si="2">A75</f>
        <v>HR++</v>
      </c>
      <c r="B35" s="43">
        <f>B75*2</f>
        <v>104.72000000000001</v>
      </c>
      <c r="C35" s="80" t="s">
        <v>318</v>
      </c>
    </row>
    <row r="36" spans="1:11" x14ac:dyDescent="0.35">
      <c r="A36" s="43" t="str">
        <f t="shared" si="2"/>
        <v>Tripel</v>
      </c>
      <c r="B36" s="43">
        <f>B76*2</f>
        <v>97.58</v>
      </c>
      <c r="C36" s="80" t="s">
        <v>318</v>
      </c>
    </row>
    <row r="37" spans="1:11" x14ac:dyDescent="0.35">
      <c r="A37" s="43" t="str">
        <f t="shared" si="2"/>
        <v>Vacuum</v>
      </c>
      <c r="B37" s="43">
        <f>B77*2</f>
        <v>52.360000000000007</v>
      </c>
      <c r="C37" s="80" t="s">
        <v>318</v>
      </c>
    </row>
    <row r="38" spans="1:11" x14ac:dyDescent="0.35">
      <c r="A38" s="43" t="str">
        <f>A84</f>
        <v>Hout</v>
      </c>
      <c r="B38" s="56">
        <f>I84</f>
        <v>-404.40959999999995</v>
      </c>
    </row>
    <row r="39" spans="1:11" x14ac:dyDescent="0.35">
      <c r="A39" s="43" t="str">
        <f>A85</f>
        <v>Kunststof</v>
      </c>
      <c r="B39" s="56">
        <f>I85</f>
        <v>18.72</v>
      </c>
    </row>
    <row r="40" spans="1:11" x14ac:dyDescent="0.35">
      <c r="A40" s="43" t="str">
        <f>A86</f>
        <v>Aluminium VMRG keurmerk</v>
      </c>
      <c r="B40" s="56">
        <f>I86</f>
        <v>56.609999999999992</v>
      </c>
    </row>
    <row r="41" spans="1:11" x14ac:dyDescent="0.35">
      <c r="A41" s="80"/>
      <c r="B41" s="100"/>
    </row>
    <row r="43" spans="1:11" x14ac:dyDescent="0.35">
      <c r="H43" s="42" t="s">
        <v>218</v>
      </c>
    </row>
    <row r="44" spans="1:11" ht="159.5" x14ac:dyDescent="0.35">
      <c r="B44" s="45" t="s">
        <v>193</v>
      </c>
      <c r="C44" s="42"/>
      <c r="E44" s="45"/>
      <c r="F44" s="44"/>
      <c r="G44" s="45" t="s">
        <v>225</v>
      </c>
      <c r="H44" s="45" t="s">
        <v>222</v>
      </c>
      <c r="I44" s="89"/>
      <c r="J44" s="87" t="s">
        <v>220</v>
      </c>
    </row>
    <row r="45" spans="1:11" x14ac:dyDescent="0.35">
      <c r="A45" s="42" t="s">
        <v>172</v>
      </c>
      <c r="B45" s="46" t="s">
        <v>130</v>
      </c>
      <c r="C45" s="46"/>
      <c r="D45" s="47" t="s">
        <v>321</v>
      </c>
      <c r="E45" s="46" t="s">
        <v>323</v>
      </c>
      <c r="F45" s="46" t="s">
        <v>322</v>
      </c>
      <c r="G45" s="46" t="s">
        <v>226</v>
      </c>
      <c r="H45" s="80" t="s">
        <v>202</v>
      </c>
      <c r="I45" s="80" t="s">
        <v>219</v>
      </c>
      <c r="J45" s="80" t="s">
        <v>228</v>
      </c>
      <c r="K45" s="80" t="s">
        <v>231</v>
      </c>
    </row>
    <row r="46" spans="1:11" x14ac:dyDescent="0.35">
      <c r="A46" s="80" t="s">
        <v>320</v>
      </c>
      <c r="B46" s="48">
        <f>D46*F46/(1/E46)</f>
        <v>0.16385207999999998</v>
      </c>
      <c r="D46" s="43">
        <v>0.11703719999999999</v>
      </c>
      <c r="E46" s="48">
        <v>0.02</v>
      </c>
      <c r="F46" s="43">
        <v>70</v>
      </c>
    </row>
    <row r="47" spans="1:11" x14ac:dyDescent="0.35">
      <c r="A47" s="43" t="s">
        <v>162</v>
      </c>
      <c r="B47" s="48">
        <f>2.98/1.71</f>
        <v>1.7426900584795322</v>
      </c>
      <c r="E47" s="48"/>
    </row>
    <row r="48" spans="1:11" x14ac:dyDescent="0.35">
      <c r="A48" s="43" t="s">
        <v>166</v>
      </c>
      <c r="B48" s="86">
        <f>2.76/1.5</f>
        <v>1.8399999999999999</v>
      </c>
      <c r="E48" s="48"/>
    </row>
    <row r="49" spans="1:11" x14ac:dyDescent="0.35">
      <c r="A49" s="43" t="s">
        <v>170</v>
      </c>
      <c r="B49" s="86">
        <f>22.7/6.3</f>
        <v>3.6031746031746033</v>
      </c>
      <c r="E49" s="48"/>
      <c r="G49" s="82">
        <f>16.1/(16.1+13.1)</f>
        <v>0.55136986301369861</v>
      </c>
      <c r="I49" s="49"/>
    </row>
    <row r="50" spans="1:11" x14ac:dyDescent="0.35">
      <c r="A50" s="43" t="s">
        <v>164</v>
      </c>
      <c r="B50" s="48">
        <f>7/3.48</f>
        <v>2.0114942528735633</v>
      </c>
      <c r="E50" s="48"/>
    </row>
    <row r="51" spans="1:11" x14ac:dyDescent="0.35">
      <c r="A51" s="43" t="s">
        <v>163</v>
      </c>
      <c r="B51" s="48">
        <f>3.27/1.5</f>
        <v>2.1800000000000002</v>
      </c>
      <c r="E51" s="48"/>
    </row>
    <row r="52" spans="1:11" x14ac:dyDescent="0.35">
      <c r="A52" s="80" t="s">
        <v>224</v>
      </c>
      <c r="B52" s="48">
        <f>1.24/3.5</f>
        <v>0.35428571428571426</v>
      </c>
      <c r="E52" s="48"/>
    </row>
    <row r="53" spans="1:11" x14ac:dyDescent="0.35">
      <c r="A53" s="43" t="s">
        <v>171</v>
      </c>
      <c r="B53" s="86">
        <f>4.15/3.55</f>
        <v>1.1690140845070425</v>
      </c>
      <c r="E53" s="48"/>
      <c r="F53" s="44"/>
      <c r="G53" s="82">
        <f>13.1/(16.1+13.1)</f>
        <v>0.44863013698630133</v>
      </c>
      <c r="I53" s="49"/>
    </row>
    <row r="54" spans="1:11" x14ac:dyDescent="0.35">
      <c r="A54" s="43" t="s">
        <v>169</v>
      </c>
      <c r="B54" s="86">
        <f>2.6/3.55</f>
        <v>0.73239436619718312</v>
      </c>
      <c r="E54" s="48"/>
      <c r="H54" s="43">
        <f>I54*J54</f>
        <v>-42.764281690140841</v>
      </c>
      <c r="I54" s="84">
        <f>-(1*9.3*44/12)*(50+0.2*50)/100</f>
        <v>-20.46</v>
      </c>
      <c r="J54" s="43">
        <f>7.42/3.55</f>
        <v>2.0901408450704224</v>
      </c>
      <c r="K54" s="43">
        <f>2.6/3.55+I54*J54</f>
        <v>-42.031887323943657</v>
      </c>
    </row>
    <row r="55" spans="1:11" x14ac:dyDescent="0.35">
      <c r="A55" s="43" t="s">
        <v>168</v>
      </c>
      <c r="B55" s="48">
        <f>55.7/5.2</f>
        <v>10.711538461538462</v>
      </c>
      <c r="E55" s="48"/>
    </row>
    <row r="56" spans="1:11" x14ac:dyDescent="0.35">
      <c r="A56" s="43" t="s">
        <v>167</v>
      </c>
      <c r="B56" s="48">
        <f>11.9/3.67</f>
        <v>3.242506811989101</v>
      </c>
      <c r="E56" s="48"/>
    </row>
    <row r="57" spans="1:11" x14ac:dyDescent="0.35">
      <c r="A57" s="43" t="s">
        <v>165</v>
      </c>
      <c r="B57" s="86">
        <f>7.22/3.55</f>
        <v>2.0338028169014084</v>
      </c>
      <c r="E57" s="48"/>
    </row>
    <row r="58" spans="1:11" x14ac:dyDescent="0.35">
      <c r="E58" s="42"/>
      <c r="F58" s="42" t="s">
        <v>230</v>
      </c>
      <c r="G58" s="42">
        <f>G49*B49+G53*B53</f>
        <v>2.511136836238129</v>
      </c>
    </row>
    <row r="59" spans="1:11" x14ac:dyDescent="0.35">
      <c r="A59" s="42" t="s">
        <v>161</v>
      </c>
      <c r="B59" s="46" t="s">
        <v>160</v>
      </c>
      <c r="C59" s="44"/>
      <c r="F59" s="80"/>
    </row>
    <row r="60" spans="1:11" x14ac:dyDescent="0.35">
      <c r="A60" s="43" t="s">
        <v>159</v>
      </c>
      <c r="B60" s="43">
        <v>1924</v>
      </c>
    </row>
    <row r="61" spans="1:11" x14ac:dyDescent="0.35">
      <c r="A61" s="80" t="s">
        <v>324</v>
      </c>
      <c r="B61" s="43">
        <v>676</v>
      </c>
    </row>
    <row r="62" spans="1:11" x14ac:dyDescent="0.35">
      <c r="A62" s="43" t="s">
        <v>158</v>
      </c>
      <c r="B62" s="43">
        <v>677</v>
      </c>
    </row>
    <row r="63" spans="1:11" x14ac:dyDescent="0.35">
      <c r="A63" s="43" t="s">
        <v>157</v>
      </c>
      <c r="B63" s="43">
        <v>1300</v>
      </c>
    </row>
    <row r="64" spans="1:11" x14ac:dyDescent="0.35">
      <c r="A64" s="43" t="s">
        <v>156</v>
      </c>
      <c r="B64" s="43">
        <v>3</v>
      </c>
    </row>
    <row r="65" spans="1:10" x14ac:dyDescent="0.35">
      <c r="A65" s="43" t="s">
        <v>155</v>
      </c>
      <c r="B65" s="43">
        <v>1624</v>
      </c>
    </row>
    <row r="66" spans="1:10" x14ac:dyDescent="0.35">
      <c r="A66" s="43" t="s">
        <v>154</v>
      </c>
      <c r="B66" s="43">
        <v>1</v>
      </c>
    </row>
    <row r="67" spans="1:10" x14ac:dyDescent="0.35">
      <c r="A67" s="43" t="s">
        <v>153</v>
      </c>
      <c r="B67" s="43">
        <v>1</v>
      </c>
    </row>
    <row r="68" spans="1:10" x14ac:dyDescent="0.35">
      <c r="A68" s="43" t="s">
        <v>152</v>
      </c>
      <c r="B68" s="43">
        <v>1</v>
      </c>
    </row>
    <row r="70" spans="1:10" x14ac:dyDescent="0.35">
      <c r="A70" s="42" t="s">
        <v>151</v>
      </c>
      <c r="B70" s="43" t="s">
        <v>202</v>
      </c>
    </row>
    <row r="71" spans="1:10" s="50" customFormat="1" x14ac:dyDescent="0.35">
      <c r="A71" s="43" t="s">
        <v>150</v>
      </c>
      <c r="B71" s="43">
        <v>2.0299999999999998</v>
      </c>
    </row>
    <row r="72" spans="1:10" s="50" customFormat="1" x14ac:dyDescent="0.35">
      <c r="A72" s="43"/>
      <c r="B72" s="43"/>
    </row>
    <row r="73" spans="1:10" ht="58" x14ac:dyDescent="0.35">
      <c r="B73" s="42" t="s">
        <v>149</v>
      </c>
      <c r="E73" s="85"/>
      <c r="F73" s="85" t="s">
        <v>220</v>
      </c>
      <c r="G73" s="42"/>
      <c r="H73" s="45" t="s">
        <v>148</v>
      </c>
      <c r="I73" s="45" t="s">
        <v>229</v>
      </c>
    </row>
    <row r="74" spans="1:10" x14ac:dyDescent="0.35">
      <c r="A74" s="42" t="s">
        <v>147</v>
      </c>
      <c r="B74" s="46" t="s">
        <v>141</v>
      </c>
      <c r="C74" s="46" t="s">
        <v>146</v>
      </c>
      <c r="D74" s="46" t="s">
        <v>145</v>
      </c>
      <c r="E74" s="46" t="s">
        <v>144</v>
      </c>
      <c r="F74" s="46" t="s">
        <v>143</v>
      </c>
      <c r="G74" s="46" t="s">
        <v>142</v>
      </c>
      <c r="H74" s="46" t="s">
        <v>141</v>
      </c>
      <c r="I74" s="46" t="s">
        <v>141</v>
      </c>
    </row>
    <row r="75" spans="1:10" x14ac:dyDescent="0.35">
      <c r="A75" s="43" t="s">
        <v>140</v>
      </c>
      <c r="B75" s="43">
        <f>I75</f>
        <v>52.360000000000007</v>
      </c>
      <c r="C75" s="52">
        <v>3536</v>
      </c>
      <c r="D75" s="52">
        <v>1.1000000000000001</v>
      </c>
      <c r="E75" s="52">
        <v>1.76</v>
      </c>
      <c r="F75" s="52">
        <v>22.5</v>
      </c>
      <c r="G75" s="43">
        <f>E75*F75</f>
        <v>39.6</v>
      </c>
      <c r="H75" s="43">
        <v>48.186</v>
      </c>
      <c r="I75" s="43">
        <f>47.6*D75</f>
        <v>52.360000000000007</v>
      </c>
      <c r="J75" s="44"/>
    </row>
    <row r="76" spans="1:10" x14ac:dyDescent="0.35">
      <c r="A76" s="43" t="s">
        <v>139</v>
      </c>
      <c r="B76" s="43">
        <f t="shared" ref="B76:B77" si="3">I76</f>
        <v>48.79</v>
      </c>
      <c r="C76" s="52">
        <v>324</v>
      </c>
      <c r="D76" s="52">
        <v>0.7</v>
      </c>
      <c r="E76" s="52">
        <v>1.86</v>
      </c>
      <c r="F76" s="52">
        <v>32</v>
      </c>
      <c r="G76" s="43">
        <f>E76*F76</f>
        <v>59.52</v>
      </c>
      <c r="H76" s="43">
        <v>61.18</v>
      </c>
      <c r="I76" s="43">
        <f>69.7*D76</f>
        <v>48.79</v>
      </c>
    </row>
    <row r="77" spans="1:10" x14ac:dyDescent="0.35">
      <c r="A77" s="43" t="s">
        <v>138</v>
      </c>
      <c r="B77" s="43">
        <f t="shared" si="3"/>
        <v>26.180000000000003</v>
      </c>
      <c r="C77" s="52">
        <v>24</v>
      </c>
      <c r="D77" s="52">
        <v>0.55000000000000004</v>
      </c>
      <c r="E77" s="52">
        <v>1.5644444444444445</v>
      </c>
      <c r="F77" s="52">
        <v>20</v>
      </c>
      <c r="G77" s="43">
        <f>E77*F77</f>
        <v>31.288888888888891</v>
      </c>
      <c r="H77" s="43">
        <v>48.186</v>
      </c>
      <c r="I77" s="43">
        <f>47.6*D77</f>
        <v>26.180000000000003</v>
      </c>
    </row>
    <row r="78" spans="1:10" x14ac:dyDescent="0.35">
      <c r="A78" s="43" t="s">
        <v>137</v>
      </c>
    </row>
    <row r="79" spans="1:10" x14ac:dyDescent="0.35">
      <c r="A79" s="42" t="s">
        <v>97</v>
      </c>
      <c r="B79" s="53">
        <f>(C75*B75+C76*B76+C77*B77)/SUM(C75:C77)</f>
        <v>51.900422245108139</v>
      </c>
      <c r="G79" s="53">
        <f>(C75*G75+C76*G76+C77*G77)/SUM(C75:C77)</f>
        <v>41.210353587366974</v>
      </c>
    </row>
    <row r="80" spans="1:10" x14ac:dyDescent="0.35">
      <c r="G80" s="144" t="s">
        <v>227</v>
      </c>
    </row>
    <row r="81" spans="1:23" ht="15" customHeight="1" x14ac:dyDescent="0.35">
      <c r="G81" s="144"/>
      <c r="L81" s="42" t="s">
        <v>218</v>
      </c>
      <c r="N81" s="54"/>
    </row>
    <row r="82" spans="1:23" x14ac:dyDescent="0.35">
      <c r="C82" s="43" t="s">
        <v>223</v>
      </c>
      <c r="G82" s="144"/>
      <c r="K82" s="42" t="s">
        <v>136</v>
      </c>
      <c r="L82" s="42" t="s">
        <v>222</v>
      </c>
      <c r="N82" s="54"/>
      <c r="O82" s="80"/>
      <c r="R82" s="80" t="s">
        <v>216</v>
      </c>
      <c r="V82" s="44"/>
    </row>
    <row r="83" spans="1:23" x14ac:dyDescent="0.35">
      <c r="A83" s="42" t="s">
        <v>135</v>
      </c>
      <c r="B83" s="46" t="s">
        <v>134</v>
      </c>
      <c r="C83" s="47" t="s">
        <v>133</v>
      </c>
      <c r="D83" s="46"/>
      <c r="E83" s="46" t="s">
        <v>132</v>
      </c>
      <c r="F83" s="46"/>
      <c r="G83" s="46" t="s">
        <v>129</v>
      </c>
      <c r="H83" s="46" t="s">
        <v>131</v>
      </c>
      <c r="I83" s="55" t="s">
        <v>130</v>
      </c>
      <c r="K83" s="80" t="s">
        <v>217</v>
      </c>
      <c r="L83" s="80" t="s">
        <v>202</v>
      </c>
      <c r="M83" s="80" t="s">
        <v>219</v>
      </c>
      <c r="N83" s="46"/>
    </row>
    <row r="84" spans="1:23" x14ac:dyDescent="0.35">
      <c r="A84" s="43" t="s">
        <v>128</v>
      </c>
      <c r="B84" s="43">
        <v>0.18</v>
      </c>
      <c r="C84" s="56">
        <f>1/2.4</f>
        <v>0.41666666666666669</v>
      </c>
      <c r="D84" s="56"/>
      <c r="E84" s="43">
        <v>-778</v>
      </c>
      <c r="G84" s="81">
        <f>3.36+K84*L84</f>
        <v>-168.50399999999999</v>
      </c>
      <c r="H84" s="57">
        <v>0.26</v>
      </c>
      <c r="I84" s="56">
        <f>G84/C84</f>
        <v>-404.40959999999995</v>
      </c>
      <c r="K84" s="56">
        <v>8.4</v>
      </c>
      <c r="L84" s="43">
        <f>-(1*9.3*44/12)*(50+0.2*50)/100</f>
        <v>-20.46</v>
      </c>
      <c r="R84" s="43" t="s">
        <v>215</v>
      </c>
    </row>
    <row r="85" spans="1:23" x14ac:dyDescent="0.35">
      <c r="A85" s="43" t="s">
        <v>127</v>
      </c>
      <c r="B85" s="43">
        <v>0.16</v>
      </c>
      <c r="C85" s="56">
        <f>1/1.6</f>
        <v>0.625</v>
      </c>
      <c r="D85" s="56"/>
      <c r="E85" s="43">
        <v>1300</v>
      </c>
      <c r="G85" s="81">
        <v>11.7</v>
      </c>
      <c r="H85" s="57">
        <v>0.54</v>
      </c>
      <c r="I85" s="56">
        <f>G85/C85</f>
        <v>18.72</v>
      </c>
      <c r="K85" s="56">
        <v>7.1689999999999996</v>
      </c>
      <c r="L85" s="43">
        <v>0</v>
      </c>
    </row>
    <row r="86" spans="1:23" x14ac:dyDescent="0.35">
      <c r="A86" s="80" t="s">
        <v>221</v>
      </c>
      <c r="B86" s="43">
        <v>160</v>
      </c>
      <c r="C86" s="56">
        <f>1/1.7</f>
        <v>0.58823529411764708</v>
      </c>
      <c r="D86" s="58"/>
      <c r="E86" s="43">
        <v>2700</v>
      </c>
      <c r="G86" s="81">
        <v>33.299999999999997</v>
      </c>
      <c r="H86" s="57">
        <v>0.2</v>
      </c>
      <c r="I86" s="83">
        <f>G86/C86</f>
        <v>56.609999999999992</v>
      </c>
      <c r="K86" s="56">
        <f>5*K85</f>
        <v>35.844999999999999</v>
      </c>
      <c r="L86" s="43">
        <v>0</v>
      </c>
      <c r="M86" s="44"/>
      <c r="W86" s="44" t="s">
        <v>126</v>
      </c>
    </row>
    <row r="87" spans="1:23" x14ac:dyDescent="0.35">
      <c r="A87" s="42" t="s">
        <v>97</v>
      </c>
      <c r="B87" s="46" t="s">
        <v>125</v>
      </c>
      <c r="C87" s="46" t="s">
        <v>124</v>
      </c>
      <c r="D87" s="51"/>
      <c r="E87" s="54" t="s">
        <v>123</v>
      </c>
      <c r="G87" s="44"/>
      <c r="H87" s="46" t="s">
        <v>122</v>
      </c>
      <c r="I87" s="59">
        <f>(I84*H84+I85*H85+I86*H86)/100%</f>
        <v>-83.71569599999998</v>
      </c>
      <c r="R87" s="44"/>
    </row>
    <row r="88" spans="1:23" x14ac:dyDescent="0.35">
      <c r="A88" s="42"/>
      <c r="E88" s="46" t="s">
        <v>121</v>
      </c>
      <c r="R88" s="44"/>
      <c r="T88" s="44"/>
      <c r="U88" s="59"/>
    </row>
    <row r="89" spans="1:23" x14ac:dyDescent="0.35">
      <c r="A89" s="42"/>
      <c r="G89" s="44"/>
      <c r="I89" s="44"/>
      <c r="J89" s="59"/>
      <c r="N89" s="44"/>
    </row>
    <row r="90" spans="1:23" x14ac:dyDescent="0.35">
      <c r="A90" s="42"/>
      <c r="G90" s="44"/>
      <c r="I90" s="44"/>
      <c r="J90" s="59"/>
      <c r="N90" s="44"/>
    </row>
    <row r="91" spans="1:23" ht="72.5" x14ac:dyDescent="0.35">
      <c r="B91" s="45" t="s">
        <v>120</v>
      </c>
      <c r="E91" s="45" t="s">
        <v>119</v>
      </c>
      <c r="K91" s="44"/>
    </row>
    <row r="92" spans="1:23" x14ac:dyDescent="0.35">
      <c r="A92" s="42" t="s">
        <v>118</v>
      </c>
      <c r="B92" s="46" t="s">
        <v>117</v>
      </c>
      <c r="C92" s="46" t="s">
        <v>116</v>
      </c>
      <c r="E92" s="46" t="s">
        <v>115</v>
      </c>
      <c r="F92" s="46"/>
    </row>
    <row r="93" spans="1:23" x14ac:dyDescent="0.35">
      <c r="A93" s="43" t="s">
        <v>114</v>
      </c>
      <c r="B93" s="43">
        <v>0</v>
      </c>
      <c r="C93" s="57">
        <v>0</v>
      </c>
      <c r="E93" s="43">
        <v>0</v>
      </c>
    </row>
    <row r="94" spans="1:23" x14ac:dyDescent="0.35">
      <c r="A94" s="43" t="s">
        <v>113</v>
      </c>
      <c r="B94" s="43">
        <v>77.099999999999994</v>
      </c>
      <c r="C94" s="57">
        <f>1250/(1250+3250)</f>
        <v>0.27777777777777779</v>
      </c>
      <c r="E94" s="43">
        <v>100</v>
      </c>
      <c r="F94" s="43" t="s">
        <v>197</v>
      </c>
    </row>
    <row r="95" spans="1:23" x14ac:dyDescent="0.35">
      <c r="A95" s="43" t="s">
        <v>112</v>
      </c>
      <c r="B95" s="43">
        <v>337</v>
      </c>
      <c r="C95" s="57">
        <f>3250/(1250+3250)</f>
        <v>0.72222222222222221</v>
      </c>
      <c r="E95" s="43">
        <v>438</v>
      </c>
      <c r="F95" s="43" t="s">
        <v>197</v>
      </c>
    </row>
    <row r="96" spans="1:23" x14ac:dyDescent="0.35">
      <c r="A96" s="42" t="s">
        <v>97</v>
      </c>
      <c r="B96" s="60">
        <f>C93*B93+C94*B94+C95*B95</f>
        <v>264.80555555555554</v>
      </c>
      <c r="C96" s="46" t="s">
        <v>111</v>
      </c>
    </row>
    <row r="98" spans="1:7" x14ac:dyDescent="0.35">
      <c r="D98" s="43" t="s">
        <v>110</v>
      </c>
      <c r="F98" s="43" t="s">
        <v>109</v>
      </c>
    </row>
    <row r="99" spans="1:7" x14ac:dyDescent="0.35">
      <c r="A99" s="42" t="s">
        <v>108</v>
      </c>
      <c r="B99" s="43" t="s">
        <v>107</v>
      </c>
      <c r="C99" s="43" t="s">
        <v>106</v>
      </c>
      <c r="D99" s="43" t="s">
        <v>105</v>
      </c>
      <c r="F99" s="43" t="s">
        <v>104</v>
      </c>
      <c r="G99" s="43" t="s">
        <v>103</v>
      </c>
    </row>
    <row r="100" spans="1:7" x14ac:dyDescent="0.35">
      <c r="A100" s="43" t="s">
        <v>102</v>
      </c>
      <c r="B100" s="61">
        <f>D100/(C100/1000)</f>
        <v>702.7027027027026</v>
      </c>
      <c r="C100" s="43">
        <v>170</v>
      </c>
      <c r="D100" s="61">
        <f>221/1.85</f>
        <v>119.45945945945945</v>
      </c>
      <c r="F100" s="57">
        <v>0.1</v>
      </c>
      <c r="G100" s="57">
        <v>0.01</v>
      </c>
    </row>
    <row r="101" spans="1:7" x14ac:dyDescent="0.35">
      <c r="A101" s="43" t="s">
        <v>101</v>
      </c>
      <c r="B101" s="61">
        <f>D101/(C101/1000)</f>
        <v>655.00794912559616</v>
      </c>
      <c r="C101" s="61">
        <f>$C$100*F101/$F$100</f>
        <v>255</v>
      </c>
      <c r="D101" s="61">
        <f>309/1.85</f>
        <v>167.02702702702703</v>
      </c>
      <c r="F101" s="57">
        <v>0.15</v>
      </c>
      <c r="G101" s="57">
        <v>0.01</v>
      </c>
    </row>
    <row r="102" spans="1:7" x14ac:dyDescent="0.35">
      <c r="A102" s="43" t="s">
        <v>100</v>
      </c>
      <c r="B102" s="61">
        <f>D102/(C102/1000)</f>
        <v>910.96979332273452</v>
      </c>
      <c r="C102" s="61">
        <f>$C$100*F102/$F$100</f>
        <v>340</v>
      </c>
      <c r="D102" s="61">
        <f>573/1.85</f>
        <v>309.72972972972974</v>
      </c>
      <c r="F102" s="57">
        <v>0.2</v>
      </c>
      <c r="G102" s="57">
        <v>0.5</v>
      </c>
    </row>
    <row r="103" spans="1:7" x14ac:dyDescent="0.35">
      <c r="A103" s="43" t="s">
        <v>99</v>
      </c>
      <c r="B103" s="61">
        <f>D103/(C103/1000)</f>
        <v>793.04217712522211</v>
      </c>
      <c r="C103" s="61">
        <f>$C$100*F103/$F$100</f>
        <v>289</v>
      </c>
      <c r="D103" s="61">
        <f>424/1.85</f>
        <v>229.18918918918916</v>
      </c>
      <c r="F103" s="57">
        <v>0.17</v>
      </c>
      <c r="G103" s="57">
        <v>0.48</v>
      </c>
    </row>
    <row r="104" spans="1:7" x14ac:dyDescent="0.35">
      <c r="A104" s="43" t="s">
        <v>98</v>
      </c>
      <c r="B104" s="43">
        <f>2*D104/2.5</f>
        <v>188.8</v>
      </c>
      <c r="D104" s="43">
        <v>236</v>
      </c>
    </row>
    <row r="105" spans="1:7" x14ac:dyDescent="0.35">
      <c r="A105" s="42" t="s">
        <v>97</v>
      </c>
      <c r="B105" s="62">
        <f>B100*G100+B101*G101+B102*G102+B103*G103</f>
        <v>849.72224819975679</v>
      </c>
    </row>
    <row r="108" spans="1:7" x14ac:dyDescent="0.35">
      <c r="A108" s="42" t="s">
        <v>241</v>
      </c>
    </row>
    <row r="109" spans="1:7" x14ac:dyDescent="0.35">
      <c r="A109" s="80" t="s">
        <v>254</v>
      </c>
      <c r="E109" s="88">
        <v>5</v>
      </c>
      <c r="F109" s="80" t="s">
        <v>242</v>
      </c>
      <c r="G109" s="80"/>
    </row>
    <row r="110" spans="1:7" x14ac:dyDescent="0.35">
      <c r="A110" s="80" t="s">
        <v>243</v>
      </c>
      <c r="E110" s="88">
        <v>48.563000000000002</v>
      </c>
    </row>
    <row r="111" spans="1:7" x14ac:dyDescent="0.35">
      <c r="A111" s="80" t="s">
        <v>244</v>
      </c>
      <c r="E111" s="88">
        <v>2</v>
      </c>
    </row>
    <row r="112" spans="1:7" x14ac:dyDescent="0.35">
      <c r="A112" s="80" t="s">
        <v>183</v>
      </c>
      <c r="E112" s="88">
        <f>E109*E110*E111</f>
        <v>485.63</v>
      </c>
      <c r="F112" s="80" t="s">
        <v>245</v>
      </c>
      <c r="G112" s="80"/>
    </row>
  </sheetData>
  <sheetProtection algorithmName="SHA-512" hashValue="S83gaEYLjZ6SiLkuELjkvqNhw1GicO2ffYlyzOb3xhm/o+43lE1F0LFAQ6DPYivrAkYzt0cGipi3+0NieOdfBQ==" saltValue="933oKKUmYXrJWPJwUnpKMA==" spinCount="100000" sheet="1" objects="1" scenarios="1"/>
  <sortState xmlns:xlrd2="http://schemas.microsoft.com/office/spreadsheetml/2017/richdata2" ref="A46:W47">
    <sortCondition ref="A46:A47"/>
  </sortState>
  <mergeCells count="1">
    <mergeCell ref="G80:G82"/>
  </mergeCells>
  <dataValidations disablePrompts="1" count="1">
    <dataValidation type="list" allowBlank="1" showInputMessage="1" showErrorMessage="1" sqref="J2:J43" xr:uid="{EE43B909-88E3-403F-8016-9893666A58C0}">
      <formula1>$J$2:$J$10</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54014-B142-4747-9109-0F1DEE3FE7F6}">
  <dimension ref="A3:J98"/>
  <sheetViews>
    <sheetView workbookViewId="0">
      <selection activeCell="J30" sqref="J30"/>
    </sheetView>
  </sheetViews>
  <sheetFormatPr defaultColWidth="8.8984375" defaultRowHeight="13" x14ac:dyDescent="0.3"/>
  <cols>
    <col min="1" max="1" width="8.8984375" style="1"/>
    <col min="2" max="5" width="23.59765625" style="2" customWidth="1"/>
    <col min="6" max="6" width="21.296875" style="2" customWidth="1"/>
    <col min="7" max="7" width="24.09765625" style="2" customWidth="1"/>
    <col min="8" max="8" width="18.3984375" style="2" customWidth="1"/>
    <col min="9" max="9" width="15.69921875" style="1" customWidth="1"/>
    <col min="10" max="10" width="20.69921875" style="2" customWidth="1"/>
    <col min="11" max="16384" width="8.8984375" style="2"/>
  </cols>
  <sheetData>
    <row r="3" spans="1:10" ht="21" x14ac:dyDescent="0.5">
      <c r="B3" s="113" t="s">
        <v>337</v>
      </c>
      <c r="C3" s="15"/>
      <c r="D3" s="1"/>
      <c r="E3" s="1"/>
      <c r="G3" s="114" t="s">
        <v>341</v>
      </c>
    </row>
    <row r="4" spans="1:10" x14ac:dyDescent="0.3">
      <c r="B4" s="3" t="s">
        <v>8</v>
      </c>
      <c r="C4" s="3" t="s">
        <v>11</v>
      </c>
      <c r="D4" s="3" t="s">
        <v>9</v>
      </c>
      <c r="E4" s="3" t="s">
        <v>10</v>
      </c>
      <c r="G4" s="11" t="s">
        <v>356</v>
      </c>
      <c r="H4" s="11" t="s">
        <v>357</v>
      </c>
      <c r="I4" s="27" t="s">
        <v>358</v>
      </c>
      <c r="J4" s="11" t="s">
        <v>359</v>
      </c>
    </row>
    <row r="5" spans="1:10" x14ac:dyDescent="0.3">
      <c r="A5" s="3" t="s">
        <v>338</v>
      </c>
      <c r="B5" s="5" t="s">
        <v>251</v>
      </c>
      <c r="C5" s="5" t="s">
        <v>253</v>
      </c>
      <c r="D5" s="5" t="s">
        <v>252</v>
      </c>
      <c r="E5" s="5" t="s">
        <v>252</v>
      </c>
      <c r="G5" s="2" t="s">
        <v>342</v>
      </c>
      <c r="H5" s="2" t="s">
        <v>343</v>
      </c>
      <c r="I5" s="117">
        <v>1.21</v>
      </c>
      <c r="J5" s="2" t="s">
        <v>383</v>
      </c>
    </row>
    <row r="6" spans="1:10" x14ac:dyDescent="0.3">
      <c r="A6" s="1">
        <v>1</v>
      </c>
      <c r="B6" s="1">
        <f>invoer_aanpakken!K4</f>
        <v>0</v>
      </c>
      <c r="C6" s="1">
        <f>invoer_aanpakken!L4</f>
        <v>0</v>
      </c>
      <c r="D6" s="1">
        <f>IF(invoer_aanpakken!M4=0,"N/A",invoer_aanpakken!M4)</f>
        <v>3000</v>
      </c>
      <c r="E6" s="1">
        <f>invoer_aanpakken!N4</f>
        <v>4000</v>
      </c>
      <c r="G6" s="2" t="s">
        <v>344</v>
      </c>
      <c r="H6" s="2" t="s">
        <v>345</v>
      </c>
      <c r="I6" s="117">
        <v>0.28999999999999998</v>
      </c>
      <c r="J6" s="2" t="s">
        <v>383</v>
      </c>
    </row>
    <row r="7" spans="1:10" x14ac:dyDescent="0.3">
      <c r="A7" s="1">
        <v>2</v>
      </c>
      <c r="B7" s="1">
        <f>invoer_aanpakken!K27</f>
        <v>0</v>
      </c>
      <c r="C7" s="1">
        <f>invoer_aanpakken!L27</f>
        <v>0</v>
      </c>
      <c r="D7" s="1" t="str">
        <f>IF(invoer_aanpakken!M27=0,"N/A",invoer_aanpakken!M27)</f>
        <v>N/A</v>
      </c>
      <c r="E7" s="1">
        <f>invoer_aanpakken!N27</f>
        <v>0</v>
      </c>
      <c r="G7" s="2" t="s">
        <v>354</v>
      </c>
      <c r="H7" s="2" t="s">
        <v>355</v>
      </c>
      <c r="I7" s="117">
        <v>48</v>
      </c>
      <c r="J7" s="2" t="s">
        <v>364</v>
      </c>
    </row>
    <row r="8" spans="1:10" x14ac:dyDescent="0.3">
      <c r="A8" s="1">
        <v>3</v>
      </c>
      <c r="B8" s="1">
        <f>invoer_aanpakken!K50</f>
        <v>0</v>
      </c>
      <c r="C8" s="1">
        <f>invoer_aanpakken!L50</f>
        <v>0</v>
      </c>
      <c r="D8" s="1" t="str">
        <f>IF(invoer_aanpakken!M50=0,"N/A",invoer_aanpakken!M50)</f>
        <v>N/A</v>
      </c>
      <c r="E8" s="1">
        <f>invoer_aanpakken!N50</f>
        <v>0</v>
      </c>
      <c r="G8" s="2" t="s">
        <v>347</v>
      </c>
      <c r="H8" s="115" t="s">
        <v>346</v>
      </c>
      <c r="I8" s="116">
        <v>0.3</v>
      </c>
      <c r="J8" s="2" t="s">
        <v>376</v>
      </c>
    </row>
    <row r="9" spans="1:10" x14ac:dyDescent="0.3">
      <c r="A9" s="1">
        <v>4</v>
      </c>
      <c r="B9" s="1">
        <f>invoer_aanpakken!K73</f>
        <v>0</v>
      </c>
      <c r="C9" s="1">
        <f>invoer_aanpakken!L73</f>
        <v>0</v>
      </c>
      <c r="D9" s="1" t="str">
        <f>IF(invoer_aanpakken!M73=0,"N/A",invoer_aanpakken!M73)</f>
        <v>N/A</v>
      </c>
      <c r="E9" s="1">
        <f>invoer_aanpakken!N73</f>
        <v>0</v>
      </c>
      <c r="G9" s="2" t="s">
        <v>362</v>
      </c>
      <c r="H9" s="2" t="s">
        <v>345</v>
      </c>
      <c r="I9" s="117">
        <v>0.13</v>
      </c>
      <c r="J9" s="2" t="s">
        <v>383</v>
      </c>
    </row>
    <row r="10" spans="1:10" x14ac:dyDescent="0.3">
      <c r="A10" s="1">
        <v>5</v>
      </c>
      <c r="B10" s="1">
        <f>invoer_aanpakken!K96</f>
        <v>0</v>
      </c>
      <c r="C10" s="1">
        <f>invoer_aanpakken!L96</f>
        <v>0</v>
      </c>
      <c r="D10" s="1" t="str">
        <f>IF(invoer_aanpakken!M96=0,"N/A",invoer_aanpakken!M96)</f>
        <v>N/A</v>
      </c>
      <c r="E10" s="1">
        <f>invoer_aanpakken!N96</f>
        <v>0</v>
      </c>
      <c r="G10" s="2" t="s">
        <v>348</v>
      </c>
      <c r="H10" s="2" t="s">
        <v>351</v>
      </c>
      <c r="I10" s="117">
        <v>299</v>
      </c>
      <c r="J10" s="2" t="s">
        <v>383</v>
      </c>
    </row>
    <row r="11" spans="1:10" x14ac:dyDescent="0.3">
      <c r="A11" s="1">
        <v>6</v>
      </c>
      <c r="B11" s="1">
        <f>invoer_aanpakken!K119</f>
        <v>0</v>
      </c>
      <c r="C11" s="1">
        <f>invoer_aanpakken!L119</f>
        <v>0</v>
      </c>
      <c r="D11" s="1" t="str">
        <f>IF(invoer_aanpakken!M119=0,"N/A",invoer_aanpakken!M119)</f>
        <v>N/A</v>
      </c>
      <c r="E11" s="1">
        <f>invoer_aanpakken!N119</f>
        <v>0</v>
      </c>
      <c r="G11" s="2" t="s">
        <v>349</v>
      </c>
      <c r="H11" s="2" t="s">
        <v>351</v>
      </c>
      <c r="I11" s="117">
        <v>482</v>
      </c>
      <c r="J11" s="2" t="s">
        <v>383</v>
      </c>
    </row>
    <row r="12" spans="1:10" x14ac:dyDescent="0.3">
      <c r="A12" s="1">
        <v>7</v>
      </c>
      <c r="B12" s="1">
        <f>invoer_aanpakken!K142</f>
        <v>0</v>
      </c>
      <c r="C12" s="1">
        <f>invoer_aanpakken!L142</f>
        <v>0</v>
      </c>
      <c r="D12" s="1" t="str">
        <f>IF(invoer_aanpakken!M142=0,"N/A",invoer_aanpakken!M142)</f>
        <v>N/A</v>
      </c>
      <c r="E12" s="1">
        <f>invoer_aanpakken!N142</f>
        <v>0</v>
      </c>
      <c r="G12" s="2" t="s">
        <v>350</v>
      </c>
      <c r="H12" s="2" t="s">
        <v>351</v>
      </c>
      <c r="I12" s="117">
        <v>414</v>
      </c>
      <c r="J12" s="2" t="s">
        <v>364</v>
      </c>
    </row>
    <row r="13" spans="1:10" x14ac:dyDescent="0.3">
      <c r="A13" s="1">
        <v>8</v>
      </c>
      <c r="B13" s="1">
        <f>invoer_aanpakken!K165</f>
        <v>0</v>
      </c>
      <c r="C13" s="1">
        <f>invoer_aanpakken!L165</f>
        <v>0</v>
      </c>
      <c r="D13" s="1" t="str">
        <f>IF(invoer_aanpakken!M165=0,"N/A",invoer_aanpakken!M165)</f>
        <v>N/A</v>
      </c>
      <c r="E13" s="1">
        <f>invoer_aanpakken!N165</f>
        <v>0</v>
      </c>
      <c r="G13" s="2" t="s">
        <v>353</v>
      </c>
      <c r="H13" s="2" t="s">
        <v>351</v>
      </c>
      <c r="I13" s="117">
        <v>-631.39</v>
      </c>
      <c r="J13" s="2" t="s">
        <v>383</v>
      </c>
    </row>
    <row r="14" spans="1:10" x14ac:dyDescent="0.3">
      <c r="A14" s="1">
        <v>9</v>
      </c>
      <c r="B14" s="1">
        <f>invoer_aanpakken!K188</f>
        <v>0</v>
      </c>
      <c r="C14" s="1">
        <f>invoer_aanpakken!L188</f>
        <v>0</v>
      </c>
      <c r="D14" s="1" t="str">
        <f>IF(invoer_aanpakken!M188=0,"N/A",invoer_aanpakken!M188)</f>
        <v>N/A</v>
      </c>
      <c r="E14" s="1">
        <f>invoer_aanpakken!N188</f>
        <v>0</v>
      </c>
    </row>
    <row r="15" spans="1:10" x14ac:dyDescent="0.3">
      <c r="A15" s="1">
        <v>10</v>
      </c>
      <c r="B15" s="1">
        <f>invoer_aanpakken!K211</f>
        <v>0</v>
      </c>
      <c r="C15" s="1">
        <f>invoer_aanpakken!L211</f>
        <v>0</v>
      </c>
      <c r="D15" s="1" t="str">
        <f>IF(invoer_aanpakken!M211=0,"N/A",invoer_aanpakken!M211)</f>
        <v>N/A</v>
      </c>
      <c r="E15" s="1">
        <f>invoer_aanpakken!N211</f>
        <v>0</v>
      </c>
    </row>
    <row r="19" spans="1:8" ht="21" x14ac:dyDescent="0.5">
      <c r="B19" s="114" t="s">
        <v>363</v>
      </c>
    </row>
    <row r="21" spans="1:8" x14ac:dyDescent="0.3">
      <c r="A21" s="3" t="s">
        <v>340</v>
      </c>
      <c r="B21" s="3" t="s">
        <v>8</v>
      </c>
      <c r="C21" s="3" t="s">
        <v>9</v>
      </c>
      <c r="D21" s="3" t="s">
        <v>10</v>
      </c>
      <c r="E21" s="4" t="s">
        <v>360</v>
      </c>
      <c r="F21" s="4" t="s">
        <v>361</v>
      </c>
      <c r="G21" s="4" t="s">
        <v>352</v>
      </c>
      <c r="H21" s="4" t="s">
        <v>365</v>
      </c>
    </row>
    <row r="22" spans="1:8" x14ac:dyDescent="0.3">
      <c r="A22" s="1" t="s">
        <v>15</v>
      </c>
      <c r="B22" s="118">
        <f>invoer_woningen!J4*$I$5</f>
        <v>1185.8</v>
      </c>
      <c r="C22" s="118">
        <f>invoer_woningen!K4*$I$6</f>
        <v>510.4</v>
      </c>
      <c r="D22" s="118">
        <f>(invoer_woningen!L4*kengetallen_energielasten!I$8*kengetallen_energielasten!I$6)+(invoer_woningen!L4*(1-kengetallen_energielasten!I$8)*kengetallen_energielasten!I$9)</f>
        <v>0</v>
      </c>
      <c r="E22" s="118">
        <f>IF(invoer_woningen!J4=0,0,I$10)</f>
        <v>299</v>
      </c>
      <c r="F22" s="118">
        <f>I$11+I$13</f>
        <v>-149.38999999999999</v>
      </c>
      <c r="G22" s="118">
        <f>SUM(B22:F22)</f>
        <v>1845.81</v>
      </c>
      <c r="H22" s="118">
        <f>G22/12</f>
        <v>153.8175</v>
      </c>
    </row>
    <row r="23" spans="1:8" x14ac:dyDescent="0.3">
      <c r="A23" s="1" t="s">
        <v>19</v>
      </c>
      <c r="B23" s="118">
        <f>invoer_woningen!J5*$I$5</f>
        <v>1052.7</v>
      </c>
      <c r="C23" s="118">
        <f>invoer_woningen!K5*$I$6</f>
        <v>530.69999999999993</v>
      </c>
      <c r="D23" s="118">
        <f>(invoer_woningen!L5*kengetallen_energielasten!I$8*kengetallen_energielasten!I$6)+(invoer_woningen!L5*(1-kengetallen_energielasten!I$8)*kengetallen_energielasten!I$9)</f>
        <v>0</v>
      </c>
      <c r="E23" s="118">
        <f>IF(invoer_woningen!J5=0,0,I$10)</f>
        <v>299</v>
      </c>
      <c r="F23" s="118">
        <f t="shared" ref="F23:F55" si="0">I$11+I$13</f>
        <v>-149.38999999999999</v>
      </c>
      <c r="G23" s="118">
        <f t="shared" ref="G23:G55" si="1">SUM(B23:F23)</f>
        <v>1733.0100000000002</v>
      </c>
      <c r="H23" s="118">
        <f t="shared" ref="H23:H55" si="2">G23/12</f>
        <v>144.41750000000002</v>
      </c>
    </row>
    <row r="24" spans="1:8" x14ac:dyDescent="0.3">
      <c r="A24" s="1" t="s">
        <v>23</v>
      </c>
      <c r="B24" s="118">
        <f>invoer_woningen!J6*$I$5</f>
        <v>1161.5999999999999</v>
      </c>
      <c r="C24" s="118">
        <f>invoer_woningen!K6*$I$6</f>
        <v>698.9</v>
      </c>
      <c r="D24" s="118">
        <f>(invoer_woningen!L6*kengetallen_energielasten!I$8*kengetallen_energielasten!I$6)+(invoer_woningen!L6*(1-kengetallen_energielasten!I$8)*kengetallen_energielasten!I$9)</f>
        <v>0</v>
      </c>
      <c r="E24" s="118">
        <f>IF(invoer_woningen!J6=0,0,I$10)</f>
        <v>299</v>
      </c>
      <c r="F24" s="118">
        <f t="shared" si="0"/>
        <v>-149.38999999999999</v>
      </c>
      <c r="G24" s="118">
        <f t="shared" si="1"/>
        <v>2010.1100000000001</v>
      </c>
      <c r="H24" s="118">
        <f t="shared" si="2"/>
        <v>167.50916666666669</v>
      </c>
    </row>
    <row r="25" spans="1:8" x14ac:dyDescent="0.3">
      <c r="A25" s="1" t="s">
        <v>24</v>
      </c>
      <c r="B25" s="118" t="e">
        <f>invoer_woningen!J7*$I$5</f>
        <v>#VALUE!</v>
      </c>
      <c r="C25" s="118" t="e">
        <f>invoer_woningen!K7*$I$6</f>
        <v>#VALUE!</v>
      </c>
      <c r="D25" s="118" t="e">
        <f>(invoer_woningen!L7*kengetallen_energielasten!I$8*kengetallen_energielasten!I$6)+(invoer_woningen!L7*(1-kengetallen_energielasten!I$8)*kengetallen_energielasten!I$9)</f>
        <v>#VALUE!</v>
      </c>
      <c r="E25" s="118">
        <f>IF(invoer_woningen!J7=0,0,I$10)</f>
        <v>299</v>
      </c>
      <c r="F25" s="118">
        <f t="shared" si="0"/>
        <v>-149.38999999999999</v>
      </c>
      <c r="G25" s="118" t="e">
        <f t="shared" si="1"/>
        <v>#VALUE!</v>
      </c>
      <c r="H25" s="118" t="e">
        <f t="shared" si="2"/>
        <v>#VALUE!</v>
      </c>
    </row>
    <row r="26" spans="1:8" x14ac:dyDescent="0.3">
      <c r="A26" s="1" t="s">
        <v>25</v>
      </c>
      <c r="B26" s="118" t="e">
        <f>invoer_woningen!J8*$I$5</f>
        <v>#VALUE!</v>
      </c>
      <c r="C26" s="118" t="e">
        <f>invoer_woningen!K8*$I$6</f>
        <v>#VALUE!</v>
      </c>
      <c r="D26" s="118" t="e">
        <f>(invoer_woningen!L8*kengetallen_energielasten!I$8*kengetallen_energielasten!I$6)+(invoer_woningen!L8*(1-kengetallen_energielasten!I$8)*kengetallen_energielasten!I$9)</f>
        <v>#VALUE!</v>
      </c>
      <c r="E26" s="118">
        <f>IF(invoer_woningen!J8=0,0,I$10)</f>
        <v>299</v>
      </c>
      <c r="F26" s="118">
        <f t="shared" si="0"/>
        <v>-149.38999999999999</v>
      </c>
      <c r="G26" s="118" t="e">
        <f t="shared" si="1"/>
        <v>#VALUE!</v>
      </c>
      <c r="H26" s="118" t="e">
        <f t="shared" si="2"/>
        <v>#VALUE!</v>
      </c>
    </row>
    <row r="27" spans="1:8" x14ac:dyDescent="0.3">
      <c r="A27" s="1" t="s">
        <v>26</v>
      </c>
      <c r="B27" s="118" t="e">
        <f>invoer_woningen!J9*$I$5</f>
        <v>#VALUE!</v>
      </c>
      <c r="C27" s="118" t="e">
        <f>invoer_woningen!K9*$I$6</f>
        <v>#VALUE!</v>
      </c>
      <c r="D27" s="118" t="e">
        <f>(invoer_woningen!L9*kengetallen_energielasten!I$8*kengetallen_energielasten!I$6)+(invoer_woningen!L9*(1-kengetallen_energielasten!I$8)*kengetallen_energielasten!I$9)</f>
        <v>#VALUE!</v>
      </c>
      <c r="E27" s="118">
        <f>IF(invoer_woningen!J9=0,0,I$10)</f>
        <v>299</v>
      </c>
      <c r="F27" s="118">
        <f t="shared" si="0"/>
        <v>-149.38999999999999</v>
      </c>
      <c r="G27" s="118" t="e">
        <f t="shared" si="1"/>
        <v>#VALUE!</v>
      </c>
      <c r="H27" s="118" t="e">
        <f t="shared" si="2"/>
        <v>#VALUE!</v>
      </c>
    </row>
    <row r="28" spans="1:8" x14ac:dyDescent="0.3">
      <c r="A28" s="1" t="s">
        <v>27</v>
      </c>
      <c r="B28" s="118" t="e">
        <f>invoer_woningen!J10*$I$5</f>
        <v>#VALUE!</v>
      </c>
      <c r="C28" s="118" t="e">
        <f>invoer_woningen!K10*$I$6</f>
        <v>#VALUE!</v>
      </c>
      <c r="D28" s="118" t="e">
        <f>(invoer_woningen!L10*kengetallen_energielasten!I$8*kengetallen_energielasten!I$6)+(invoer_woningen!L10*(1-kengetallen_energielasten!I$8)*kengetallen_energielasten!I$9)</f>
        <v>#VALUE!</v>
      </c>
      <c r="E28" s="118">
        <f>IF(invoer_woningen!J10=0,0,I$10)</f>
        <v>299</v>
      </c>
      <c r="F28" s="118">
        <f t="shared" si="0"/>
        <v>-149.38999999999999</v>
      </c>
      <c r="G28" s="118" t="e">
        <f t="shared" si="1"/>
        <v>#VALUE!</v>
      </c>
      <c r="H28" s="118" t="e">
        <f t="shared" si="2"/>
        <v>#VALUE!</v>
      </c>
    </row>
    <row r="29" spans="1:8" x14ac:dyDescent="0.3">
      <c r="A29" s="1" t="s">
        <v>28</v>
      </c>
      <c r="B29" s="118" t="e">
        <f>invoer_woningen!J11*$I$5</f>
        <v>#VALUE!</v>
      </c>
      <c r="C29" s="118" t="e">
        <f>invoer_woningen!K11*$I$6</f>
        <v>#VALUE!</v>
      </c>
      <c r="D29" s="118" t="e">
        <f>(invoer_woningen!L11*kengetallen_energielasten!I$8*kengetallen_energielasten!I$6)+(invoer_woningen!L11*(1-kengetallen_energielasten!I$8)*kengetallen_energielasten!I$9)</f>
        <v>#VALUE!</v>
      </c>
      <c r="E29" s="118">
        <f>IF(invoer_woningen!J11=0,0,I$10)</f>
        <v>299</v>
      </c>
      <c r="F29" s="118">
        <f t="shared" si="0"/>
        <v>-149.38999999999999</v>
      </c>
      <c r="G29" s="118" t="e">
        <f t="shared" si="1"/>
        <v>#VALUE!</v>
      </c>
      <c r="H29" s="118" t="e">
        <f t="shared" si="2"/>
        <v>#VALUE!</v>
      </c>
    </row>
    <row r="30" spans="1:8" x14ac:dyDescent="0.3">
      <c r="A30" s="1" t="s">
        <v>29</v>
      </c>
      <c r="B30" s="118" t="e">
        <f>invoer_woningen!J12*$I$5</f>
        <v>#VALUE!</v>
      </c>
      <c r="C30" s="118" t="e">
        <f>invoer_woningen!K12*$I$6</f>
        <v>#VALUE!</v>
      </c>
      <c r="D30" s="118" t="e">
        <f>(invoer_woningen!L12*kengetallen_energielasten!I$8*kengetallen_energielasten!I$6)+(invoer_woningen!L12*(1-kengetallen_energielasten!I$8)*kengetallen_energielasten!I$9)</f>
        <v>#VALUE!</v>
      </c>
      <c r="E30" s="118">
        <f>IF(invoer_woningen!J12=0,0,I$10)</f>
        <v>299</v>
      </c>
      <c r="F30" s="118">
        <f t="shared" si="0"/>
        <v>-149.38999999999999</v>
      </c>
      <c r="G30" s="118" t="e">
        <f t="shared" si="1"/>
        <v>#VALUE!</v>
      </c>
      <c r="H30" s="118" t="e">
        <f t="shared" si="2"/>
        <v>#VALUE!</v>
      </c>
    </row>
    <row r="31" spans="1:8" x14ac:dyDescent="0.3">
      <c r="A31" s="1" t="s">
        <v>30</v>
      </c>
      <c r="B31" s="118" t="e">
        <f>invoer_woningen!J13*$I$5</f>
        <v>#VALUE!</v>
      </c>
      <c r="C31" s="118" t="e">
        <f>invoer_woningen!K13*$I$6</f>
        <v>#VALUE!</v>
      </c>
      <c r="D31" s="118" t="e">
        <f>(invoer_woningen!L13*kengetallen_energielasten!I$8*kengetallen_energielasten!I$6)+(invoer_woningen!L13*(1-kengetallen_energielasten!I$8)*kengetallen_energielasten!I$9)</f>
        <v>#VALUE!</v>
      </c>
      <c r="E31" s="118">
        <f>IF(invoer_woningen!J13=0,0,I$10)</f>
        <v>299</v>
      </c>
      <c r="F31" s="118">
        <f t="shared" si="0"/>
        <v>-149.38999999999999</v>
      </c>
      <c r="G31" s="118" t="e">
        <f t="shared" si="1"/>
        <v>#VALUE!</v>
      </c>
      <c r="H31" s="118" t="e">
        <f t="shared" si="2"/>
        <v>#VALUE!</v>
      </c>
    </row>
    <row r="32" spans="1:8" x14ac:dyDescent="0.3">
      <c r="A32" s="1" t="s">
        <v>31</v>
      </c>
      <c r="B32" s="118" t="e">
        <f>invoer_woningen!J14*$I$5</f>
        <v>#VALUE!</v>
      </c>
      <c r="C32" s="118" t="e">
        <f>invoer_woningen!K14*$I$6</f>
        <v>#VALUE!</v>
      </c>
      <c r="D32" s="118" t="e">
        <f>(invoer_woningen!L14*kengetallen_energielasten!I$8*kengetallen_energielasten!I$6)+(invoer_woningen!L14*(1-kengetallen_energielasten!I$8)*kengetallen_energielasten!I$9)</f>
        <v>#VALUE!</v>
      </c>
      <c r="E32" s="118">
        <f>IF(invoer_woningen!J14=0,0,I$10)</f>
        <v>299</v>
      </c>
      <c r="F32" s="118">
        <f t="shared" si="0"/>
        <v>-149.38999999999999</v>
      </c>
      <c r="G32" s="118" t="e">
        <f t="shared" si="1"/>
        <v>#VALUE!</v>
      </c>
      <c r="H32" s="118" t="e">
        <f t="shared" si="2"/>
        <v>#VALUE!</v>
      </c>
    </row>
    <row r="33" spans="1:8" x14ac:dyDescent="0.3">
      <c r="A33" s="1" t="s">
        <v>32</v>
      </c>
      <c r="B33" s="118" t="e">
        <f>invoer_woningen!J15*$I$5</f>
        <v>#VALUE!</v>
      </c>
      <c r="C33" s="118" t="e">
        <f>invoer_woningen!K15*$I$6</f>
        <v>#VALUE!</v>
      </c>
      <c r="D33" s="118" t="e">
        <f>(invoer_woningen!L15*kengetallen_energielasten!I$8*kengetallen_energielasten!I$6)+(invoer_woningen!L15*(1-kengetallen_energielasten!I$8)*kengetallen_energielasten!I$9)</f>
        <v>#VALUE!</v>
      </c>
      <c r="E33" s="118">
        <f>IF(invoer_woningen!J15=0,0,I$10)</f>
        <v>299</v>
      </c>
      <c r="F33" s="118">
        <f t="shared" si="0"/>
        <v>-149.38999999999999</v>
      </c>
      <c r="G33" s="118" t="e">
        <f t="shared" si="1"/>
        <v>#VALUE!</v>
      </c>
      <c r="H33" s="118" t="e">
        <f t="shared" si="2"/>
        <v>#VALUE!</v>
      </c>
    </row>
    <row r="34" spans="1:8" x14ac:dyDescent="0.3">
      <c r="A34" s="1" t="s">
        <v>33</v>
      </c>
      <c r="B34" s="118" t="e">
        <f>invoer_woningen!J16*$I$5</f>
        <v>#VALUE!</v>
      </c>
      <c r="C34" s="118" t="e">
        <f>invoer_woningen!K16*$I$6</f>
        <v>#VALUE!</v>
      </c>
      <c r="D34" s="118" t="e">
        <f>(invoer_woningen!L16*kengetallen_energielasten!I$8*kengetallen_energielasten!I$6)+(invoer_woningen!L16*(1-kengetallen_energielasten!I$8)*kengetallen_energielasten!I$9)</f>
        <v>#VALUE!</v>
      </c>
      <c r="E34" s="118">
        <f>IF(invoer_woningen!J16=0,0,I$10)</f>
        <v>299</v>
      </c>
      <c r="F34" s="118">
        <f t="shared" si="0"/>
        <v>-149.38999999999999</v>
      </c>
      <c r="G34" s="118" t="e">
        <f t="shared" si="1"/>
        <v>#VALUE!</v>
      </c>
      <c r="H34" s="118" t="e">
        <f t="shared" si="2"/>
        <v>#VALUE!</v>
      </c>
    </row>
    <row r="35" spans="1:8" x14ac:dyDescent="0.3">
      <c r="A35" s="1" t="s">
        <v>34</v>
      </c>
      <c r="B35" s="118" t="e">
        <f>invoer_woningen!J17*$I$5</f>
        <v>#VALUE!</v>
      </c>
      <c r="C35" s="118" t="e">
        <f>invoer_woningen!K17*$I$6</f>
        <v>#VALUE!</v>
      </c>
      <c r="D35" s="118" t="e">
        <f>(invoer_woningen!L17*kengetallen_energielasten!I$8*kengetallen_energielasten!I$6)+(invoer_woningen!L17*(1-kengetallen_energielasten!I$8)*kengetallen_energielasten!I$9)</f>
        <v>#VALUE!</v>
      </c>
      <c r="E35" s="118">
        <f>IF(invoer_woningen!J17=0,0,I$10)</f>
        <v>299</v>
      </c>
      <c r="F35" s="118">
        <f t="shared" si="0"/>
        <v>-149.38999999999999</v>
      </c>
      <c r="G35" s="118" t="e">
        <f t="shared" si="1"/>
        <v>#VALUE!</v>
      </c>
      <c r="H35" s="118" t="e">
        <f t="shared" si="2"/>
        <v>#VALUE!</v>
      </c>
    </row>
    <row r="36" spans="1:8" x14ac:dyDescent="0.3">
      <c r="A36" s="1" t="s">
        <v>35</v>
      </c>
      <c r="B36" s="118" t="e">
        <f>invoer_woningen!J18*$I$5</f>
        <v>#VALUE!</v>
      </c>
      <c r="C36" s="118" t="e">
        <f>invoer_woningen!K18*$I$6</f>
        <v>#VALUE!</v>
      </c>
      <c r="D36" s="118" t="e">
        <f>(invoer_woningen!L18*kengetallen_energielasten!I$8*kengetallen_energielasten!I$6)+(invoer_woningen!L18*(1-kengetallen_energielasten!I$8)*kengetallen_energielasten!I$9)</f>
        <v>#VALUE!</v>
      </c>
      <c r="E36" s="118">
        <f>IF(invoer_woningen!J18=0,0,I$10)</f>
        <v>299</v>
      </c>
      <c r="F36" s="118">
        <f t="shared" si="0"/>
        <v>-149.38999999999999</v>
      </c>
      <c r="G36" s="118" t="e">
        <f t="shared" si="1"/>
        <v>#VALUE!</v>
      </c>
      <c r="H36" s="118" t="e">
        <f t="shared" si="2"/>
        <v>#VALUE!</v>
      </c>
    </row>
    <row r="37" spans="1:8" x14ac:dyDescent="0.3">
      <c r="A37" s="1" t="s">
        <v>36</v>
      </c>
      <c r="B37" s="118" t="e">
        <f>invoer_woningen!J19*$I$5</f>
        <v>#VALUE!</v>
      </c>
      <c r="C37" s="118" t="e">
        <f>invoer_woningen!K19*$I$6</f>
        <v>#VALUE!</v>
      </c>
      <c r="D37" s="118" t="e">
        <f>(invoer_woningen!L19*kengetallen_energielasten!I$8*kengetallen_energielasten!I$6)+(invoer_woningen!L19*(1-kengetallen_energielasten!I$8)*kengetallen_energielasten!I$9)</f>
        <v>#VALUE!</v>
      </c>
      <c r="E37" s="118">
        <f>IF(invoer_woningen!J19=0,0,I$10)</f>
        <v>299</v>
      </c>
      <c r="F37" s="118">
        <f t="shared" si="0"/>
        <v>-149.38999999999999</v>
      </c>
      <c r="G37" s="118" t="e">
        <f t="shared" si="1"/>
        <v>#VALUE!</v>
      </c>
      <c r="H37" s="118" t="e">
        <f t="shared" si="2"/>
        <v>#VALUE!</v>
      </c>
    </row>
    <row r="38" spans="1:8" x14ac:dyDescent="0.3">
      <c r="A38" s="1" t="s">
        <v>297</v>
      </c>
      <c r="B38" s="118" t="e">
        <f>invoer_woningen!J20*$I$5</f>
        <v>#VALUE!</v>
      </c>
      <c r="C38" s="118" t="e">
        <f>invoer_woningen!K20*$I$6</f>
        <v>#VALUE!</v>
      </c>
      <c r="D38" s="118" t="e">
        <f>(invoer_woningen!L20*kengetallen_energielasten!I$8*kengetallen_energielasten!I$6)+(invoer_woningen!L20*(1-kengetallen_energielasten!I$8)*kengetallen_energielasten!I$9)</f>
        <v>#VALUE!</v>
      </c>
      <c r="E38" s="118">
        <f>IF(invoer_woningen!J20=0,0,I$10)</f>
        <v>299</v>
      </c>
      <c r="F38" s="118">
        <f t="shared" si="0"/>
        <v>-149.38999999999999</v>
      </c>
      <c r="G38" s="118" t="e">
        <f t="shared" si="1"/>
        <v>#VALUE!</v>
      </c>
      <c r="H38" s="118" t="e">
        <f t="shared" si="2"/>
        <v>#VALUE!</v>
      </c>
    </row>
    <row r="39" spans="1:8" x14ac:dyDescent="0.3">
      <c r="A39" s="1" t="s">
        <v>298</v>
      </c>
      <c r="B39" s="118" t="e">
        <f>invoer_woningen!J21*$I$5</f>
        <v>#VALUE!</v>
      </c>
      <c r="C39" s="118" t="e">
        <f>invoer_woningen!K21*$I$6</f>
        <v>#VALUE!</v>
      </c>
      <c r="D39" s="118" t="e">
        <f>(invoer_woningen!L21*kengetallen_energielasten!I$8*kengetallen_energielasten!I$6)+(invoer_woningen!L21*(1-kengetallen_energielasten!I$8)*kengetallen_energielasten!I$9)</f>
        <v>#VALUE!</v>
      </c>
      <c r="E39" s="118">
        <f>IF(invoer_woningen!J21=0,0,I$10)</f>
        <v>299</v>
      </c>
      <c r="F39" s="118">
        <f t="shared" si="0"/>
        <v>-149.38999999999999</v>
      </c>
      <c r="G39" s="118" t="e">
        <f t="shared" si="1"/>
        <v>#VALUE!</v>
      </c>
      <c r="H39" s="118" t="e">
        <f t="shared" si="2"/>
        <v>#VALUE!</v>
      </c>
    </row>
    <row r="40" spans="1:8" x14ac:dyDescent="0.3">
      <c r="A40" s="1" t="s">
        <v>299</v>
      </c>
      <c r="B40" s="118" t="e">
        <f>invoer_woningen!J22*$I$5</f>
        <v>#VALUE!</v>
      </c>
      <c r="C40" s="118" t="e">
        <f>invoer_woningen!K22*$I$6</f>
        <v>#VALUE!</v>
      </c>
      <c r="D40" s="118" t="e">
        <f>(invoer_woningen!L22*kengetallen_energielasten!I$8*kengetallen_energielasten!I$6)+(invoer_woningen!L22*(1-kengetallen_energielasten!I$8)*kengetallen_energielasten!I$9)</f>
        <v>#VALUE!</v>
      </c>
      <c r="E40" s="118">
        <f>IF(invoer_woningen!J22=0,0,I$10)</f>
        <v>299</v>
      </c>
      <c r="F40" s="118">
        <f t="shared" si="0"/>
        <v>-149.38999999999999</v>
      </c>
      <c r="G40" s="118" t="e">
        <f t="shared" si="1"/>
        <v>#VALUE!</v>
      </c>
      <c r="H40" s="118" t="e">
        <f t="shared" si="2"/>
        <v>#VALUE!</v>
      </c>
    </row>
    <row r="41" spans="1:8" x14ac:dyDescent="0.3">
      <c r="A41" s="1" t="s">
        <v>300</v>
      </c>
      <c r="B41" s="118" t="e">
        <f>invoer_woningen!J23*$I$5</f>
        <v>#VALUE!</v>
      </c>
      <c r="C41" s="118" t="e">
        <f>invoer_woningen!K23*$I$6</f>
        <v>#VALUE!</v>
      </c>
      <c r="D41" s="118" t="e">
        <f>(invoer_woningen!L23*kengetallen_energielasten!I$8*kengetallen_energielasten!I$6)+(invoer_woningen!L23*(1-kengetallen_energielasten!I$8)*kengetallen_energielasten!I$9)</f>
        <v>#VALUE!</v>
      </c>
      <c r="E41" s="118">
        <f>IF(invoer_woningen!J23=0,0,I$10)</f>
        <v>299</v>
      </c>
      <c r="F41" s="118">
        <f t="shared" si="0"/>
        <v>-149.38999999999999</v>
      </c>
      <c r="G41" s="118" t="e">
        <f t="shared" si="1"/>
        <v>#VALUE!</v>
      </c>
      <c r="H41" s="118" t="e">
        <f t="shared" si="2"/>
        <v>#VALUE!</v>
      </c>
    </row>
    <row r="42" spans="1:8" x14ac:dyDescent="0.3">
      <c r="A42" s="1" t="s">
        <v>301</v>
      </c>
      <c r="B42" s="118" t="e">
        <f>invoer_woningen!J24*$I$5</f>
        <v>#VALUE!</v>
      </c>
      <c r="C42" s="118" t="e">
        <f>invoer_woningen!K24*$I$6</f>
        <v>#VALUE!</v>
      </c>
      <c r="D42" s="118" t="e">
        <f>(invoer_woningen!L24*kengetallen_energielasten!I$8*kengetallen_energielasten!I$6)+(invoer_woningen!L24*(1-kengetallen_energielasten!I$8)*kengetallen_energielasten!I$9)</f>
        <v>#VALUE!</v>
      </c>
      <c r="E42" s="118">
        <f>IF(invoer_woningen!J24=0,0,I$10)</f>
        <v>299</v>
      </c>
      <c r="F42" s="118">
        <f t="shared" si="0"/>
        <v>-149.38999999999999</v>
      </c>
      <c r="G42" s="118" t="e">
        <f t="shared" si="1"/>
        <v>#VALUE!</v>
      </c>
      <c r="H42" s="118" t="e">
        <f t="shared" si="2"/>
        <v>#VALUE!</v>
      </c>
    </row>
    <row r="43" spans="1:8" x14ac:dyDescent="0.3">
      <c r="A43" s="1" t="s">
        <v>302</v>
      </c>
      <c r="B43" s="118" t="e">
        <f>invoer_woningen!J25*$I$5</f>
        <v>#VALUE!</v>
      </c>
      <c r="C43" s="118" t="e">
        <f>invoer_woningen!K25*$I$6</f>
        <v>#VALUE!</v>
      </c>
      <c r="D43" s="118" t="e">
        <f>(invoer_woningen!L25*kengetallen_energielasten!I$8*kengetallen_energielasten!I$6)+(invoer_woningen!L25*(1-kengetallen_energielasten!I$8)*kengetallen_energielasten!I$9)</f>
        <v>#VALUE!</v>
      </c>
      <c r="E43" s="118">
        <f>IF(invoer_woningen!J25=0,0,I$10)</f>
        <v>299</v>
      </c>
      <c r="F43" s="118">
        <f t="shared" si="0"/>
        <v>-149.38999999999999</v>
      </c>
      <c r="G43" s="118" t="e">
        <f t="shared" si="1"/>
        <v>#VALUE!</v>
      </c>
      <c r="H43" s="118" t="e">
        <f t="shared" si="2"/>
        <v>#VALUE!</v>
      </c>
    </row>
    <row r="44" spans="1:8" x14ac:dyDescent="0.3">
      <c r="A44" s="1" t="s">
        <v>303</v>
      </c>
      <c r="B44" s="118" t="e">
        <f>invoer_woningen!J26*$I$5</f>
        <v>#VALUE!</v>
      </c>
      <c r="C44" s="118" t="e">
        <f>invoer_woningen!K26*$I$6</f>
        <v>#VALUE!</v>
      </c>
      <c r="D44" s="118" t="e">
        <f>(invoer_woningen!L26*kengetallen_energielasten!I$8*kengetallen_energielasten!I$6)+(invoer_woningen!L26*(1-kengetallen_energielasten!I$8)*kengetallen_energielasten!I$9)</f>
        <v>#VALUE!</v>
      </c>
      <c r="E44" s="118">
        <f>IF(invoer_woningen!J26=0,0,I$10)</f>
        <v>299</v>
      </c>
      <c r="F44" s="118">
        <f t="shared" si="0"/>
        <v>-149.38999999999999</v>
      </c>
      <c r="G44" s="118" t="e">
        <f t="shared" si="1"/>
        <v>#VALUE!</v>
      </c>
      <c r="H44" s="118" t="e">
        <f t="shared" si="2"/>
        <v>#VALUE!</v>
      </c>
    </row>
    <row r="45" spans="1:8" x14ac:dyDescent="0.3">
      <c r="A45" s="1" t="s">
        <v>304</v>
      </c>
      <c r="B45" s="118" t="e">
        <f>invoer_woningen!J27*$I$5</f>
        <v>#VALUE!</v>
      </c>
      <c r="C45" s="118" t="e">
        <f>invoer_woningen!K27*$I$6</f>
        <v>#VALUE!</v>
      </c>
      <c r="D45" s="118" t="e">
        <f>(invoer_woningen!L27*kengetallen_energielasten!I$8*kengetallen_energielasten!I$6)+(invoer_woningen!L27*(1-kengetallen_energielasten!I$8)*kengetallen_energielasten!I$9)</f>
        <v>#VALUE!</v>
      </c>
      <c r="E45" s="118">
        <f>IF(invoer_woningen!J27=0,0,I$10)</f>
        <v>299</v>
      </c>
      <c r="F45" s="118">
        <f t="shared" si="0"/>
        <v>-149.38999999999999</v>
      </c>
      <c r="G45" s="118" t="e">
        <f t="shared" si="1"/>
        <v>#VALUE!</v>
      </c>
      <c r="H45" s="118" t="e">
        <f t="shared" si="2"/>
        <v>#VALUE!</v>
      </c>
    </row>
    <row r="46" spans="1:8" x14ac:dyDescent="0.3">
      <c r="A46" s="1" t="s">
        <v>325</v>
      </c>
      <c r="B46" s="118" t="e">
        <f>invoer_woningen!J28*$I$5</f>
        <v>#VALUE!</v>
      </c>
      <c r="C46" s="118" t="e">
        <f>invoer_woningen!K28*$I$6</f>
        <v>#VALUE!</v>
      </c>
      <c r="D46" s="118" t="e">
        <f>(invoer_woningen!L28*kengetallen_energielasten!I$8*kengetallen_energielasten!I$6)+(invoer_woningen!L28*(1-kengetallen_energielasten!I$8)*kengetallen_energielasten!I$9)</f>
        <v>#VALUE!</v>
      </c>
      <c r="E46" s="118">
        <f>IF(invoer_woningen!J28=0,0,I$10)</f>
        <v>299</v>
      </c>
      <c r="F46" s="118">
        <f t="shared" si="0"/>
        <v>-149.38999999999999</v>
      </c>
      <c r="G46" s="118" t="e">
        <f t="shared" si="1"/>
        <v>#VALUE!</v>
      </c>
      <c r="H46" s="118" t="e">
        <f t="shared" si="2"/>
        <v>#VALUE!</v>
      </c>
    </row>
    <row r="47" spans="1:8" x14ac:dyDescent="0.3">
      <c r="A47" s="1" t="s">
        <v>326</v>
      </c>
      <c r="B47" s="118" t="e">
        <f>invoer_woningen!J29*$I$5</f>
        <v>#VALUE!</v>
      </c>
      <c r="C47" s="118" t="e">
        <f>invoer_woningen!K29*$I$6</f>
        <v>#VALUE!</v>
      </c>
      <c r="D47" s="118" t="e">
        <f>(invoer_woningen!L29*kengetallen_energielasten!I$8*kengetallen_energielasten!I$6)+(invoer_woningen!L29*(1-kengetallen_energielasten!I$8)*kengetallen_energielasten!I$9)</f>
        <v>#VALUE!</v>
      </c>
      <c r="E47" s="118">
        <f>IF(invoer_woningen!J29=0,0,I$10)</f>
        <v>299</v>
      </c>
      <c r="F47" s="118">
        <f t="shared" si="0"/>
        <v>-149.38999999999999</v>
      </c>
      <c r="G47" s="118" t="e">
        <f t="shared" si="1"/>
        <v>#VALUE!</v>
      </c>
      <c r="H47" s="118" t="e">
        <f t="shared" si="2"/>
        <v>#VALUE!</v>
      </c>
    </row>
    <row r="48" spans="1:8" x14ac:dyDescent="0.3">
      <c r="A48" s="1" t="s">
        <v>327</v>
      </c>
      <c r="B48" s="118" t="e">
        <f>invoer_woningen!J30*$I$5</f>
        <v>#VALUE!</v>
      </c>
      <c r="C48" s="118" t="e">
        <f>invoer_woningen!K30*$I$6</f>
        <v>#VALUE!</v>
      </c>
      <c r="D48" s="118" t="e">
        <f>(invoer_woningen!L30*kengetallen_energielasten!I$8*kengetallen_energielasten!I$6)+(invoer_woningen!L30*(1-kengetallen_energielasten!I$8)*kengetallen_energielasten!I$9)</f>
        <v>#VALUE!</v>
      </c>
      <c r="E48" s="118">
        <f>IF(invoer_woningen!J30=0,0,I$10)</f>
        <v>299</v>
      </c>
      <c r="F48" s="118">
        <f t="shared" si="0"/>
        <v>-149.38999999999999</v>
      </c>
      <c r="G48" s="118" t="e">
        <f t="shared" si="1"/>
        <v>#VALUE!</v>
      </c>
      <c r="H48" s="118" t="e">
        <f t="shared" si="2"/>
        <v>#VALUE!</v>
      </c>
    </row>
    <row r="49" spans="1:10" x14ac:dyDescent="0.3">
      <c r="A49" s="1" t="s">
        <v>328</v>
      </c>
      <c r="B49" s="118" t="e">
        <f>invoer_woningen!J31*$I$5</f>
        <v>#VALUE!</v>
      </c>
      <c r="C49" s="118" t="e">
        <f>invoer_woningen!K31*$I$6</f>
        <v>#VALUE!</v>
      </c>
      <c r="D49" s="118" t="e">
        <f>(invoer_woningen!L31*kengetallen_energielasten!I$8*kengetallen_energielasten!I$6)+(invoer_woningen!L31*(1-kengetallen_energielasten!I$8)*kengetallen_energielasten!I$9)</f>
        <v>#VALUE!</v>
      </c>
      <c r="E49" s="118">
        <f>IF(invoer_woningen!J31=0,0,I$10)</f>
        <v>299</v>
      </c>
      <c r="F49" s="118">
        <f t="shared" si="0"/>
        <v>-149.38999999999999</v>
      </c>
      <c r="G49" s="118" t="e">
        <f t="shared" si="1"/>
        <v>#VALUE!</v>
      </c>
      <c r="H49" s="118" t="e">
        <f t="shared" si="2"/>
        <v>#VALUE!</v>
      </c>
    </row>
    <row r="50" spans="1:10" x14ac:dyDescent="0.3">
      <c r="A50" s="1" t="s">
        <v>329</v>
      </c>
      <c r="B50" s="118" t="e">
        <f>invoer_woningen!J32*$I$5</f>
        <v>#VALUE!</v>
      </c>
      <c r="C50" s="118" t="e">
        <f>invoer_woningen!K32*$I$6</f>
        <v>#VALUE!</v>
      </c>
      <c r="D50" s="118" t="e">
        <f>(invoer_woningen!L32*kengetallen_energielasten!I$8*kengetallen_energielasten!I$6)+(invoer_woningen!L32*(1-kengetallen_energielasten!I$8)*kengetallen_energielasten!I$9)</f>
        <v>#VALUE!</v>
      </c>
      <c r="E50" s="118">
        <f>IF(invoer_woningen!J32=0,0,I$10)</f>
        <v>299</v>
      </c>
      <c r="F50" s="118">
        <f t="shared" si="0"/>
        <v>-149.38999999999999</v>
      </c>
      <c r="G50" s="118" t="e">
        <f t="shared" si="1"/>
        <v>#VALUE!</v>
      </c>
      <c r="H50" s="118" t="e">
        <f t="shared" si="2"/>
        <v>#VALUE!</v>
      </c>
    </row>
    <row r="51" spans="1:10" x14ac:dyDescent="0.3">
      <c r="A51" s="1" t="s">
        <v>330</v>
      </c>
      <c r="B51" s="118" t="e">
        <f>invoer_woningen!J33*$I$5</f>
        <v>#VALUE!</v>
      </c>
      <c r="C51" s="118" t="e">
        <f>invoer_woningen!K33*$I$6</f>
        <v>#VALUE!</v>
      </c>
      <c r="D51" s="118" t="e">
        <f>(invoer_woningen!L33*kengetallen_energielasten!I$8*kengetallen_energielasten!I$6)+(invoer_woningen!L33*(1-kengetallen_energielasten!I$8)*kengetallen_energielasten!I$9)</f>
        <v>#VALUE!</v>
      </c>
      <c r="E51" s="118">
        <f>IF(invoer_woningen!J33=0,0,I$10)</f>
        <v>299</v>
      </c>
      <c r="F51" s="118">
        <f t="shared" si="0"/>
        <v>-149.38999999999999</v>
      </c>
      <c r="G51" s="118" t="e">
        <f t="shared" si="1"/>
        <v>#VALUE!</v>
      </c>
      <c r="H51" s="118" t="e">
        <f t="shared" si="2"/>
        <v>#VALUE!</v>
      </c>
    </row>
    <row r="52" spans="1:10" x14ac:dyDescent="0.3">
      <c r="A52" s="1" t="s">
        <v>331</v>
      </c>
      <c r="B52" s="118" t="e">
        <f>invoer_woningen!J34*$I$5</f>
        <v>#VALUE!</v>
      </c>
      <c r="C52" s="118" t="e">
        <f>invoer_woningen!K34*$I$6</f>
        <v>#VALUE!</v>
      </c>
      <c r="D52" s="118" t="e">
        <f>(invoer_woningen!L34*kengetallen_energielasten!I$8*kengetallen_energielasten!I$6)+(invoer_woningen!L34*(1-kengetallen_energielasten!I$8)*kengetallen_energielasten!I$9)</f>
        <v>#VALUE!</v>
      </c>
      <c r="E52" s="118">
        <f>IF(invoer_woningen!J34=0,0,I$10)</f>
        <v>299</v>
      </c>
      <c r="F52" s="118">
        <f t="shared" si="0"/>
        <v>-149.38999999999999</v>
      </c>
      <c r="G52" s="118" t="e">
        <f t="shared" si="1"/>
        <v>#VALUE!</v>
      </c>
      <c r="H52" s="118" t="e">
        <f t="shared" si="2"/>
        <v>#VALUE!</v>
      </c>
    </row>
    <row r="53" spans="1:10" x14ac:dyDescent="0.3">
      <c r="A53" s="1" t="s">
        <v>332</v>
      </c>
      <c r="B53" s="118" t="e">
        <f>invoer_woningen!J35*$I$5</f>
        <v>#VALUE!</v>
      </c>
      <c r="C53" s="118" t="e">
        <f>invoer_woningen!K35*$I$6</f>
        <v>#VALUE!</v>
      </c>
      <c r="D53" s="118" t="e">
        <f>(invoer_woningen!L35*kengetallen_energielasten!I$8*kengetallen_energielasten!I$6)+(invoer_woningen!L35*(1-kengetallen_energielasten!I$8)*kengetallen_energielasten!I$9)</f>
        <v>#VALUE!</v>
      </c>
      <c r="E53" s="118">
        <f>IF(invoer_woningen!J35=0,0,I$10)</f>
        <v>299</v>
      </c>
      <c r="F53" s="118">
        <f t="shared" si="0"/>
        <v>-149.38999999999999</v>
      </c>
      <c r="G53" s="118" t="e">
        <f t="shared" si="1"/>
        <v>#VALUE!</v>
      </c>
      <c r="H53" s="118" t="e">
        <f t="shared" si="2"/>
        <v>#VALUE!</v>
      </c>
    </row>
    <row r="54" spans="1:10" x14ac:dyDescent="0.3">
      <c r="A54" s="1" t="s">
        <v>333</v>
      </c>
      <c r="B54" s="118" t="e">
        <f>invoer_woningen!J36*$I$5</f>
        <v>#VALUE!</v>
      </c>
      <c r="C54" s="118" t="e">
        <f>invoer_woningen!K36*$I$6</f>
        <v>#VALUE!</v>
      </c>
      <c r="D54" s="118" t="e">
        <f>(invoer_woningen!L36*kengetallen_energielasten!I$8*kengetallen_energielasten!I$6)+(invoer_woningen!L36*(1-kengetallen_energielasten!I$8)*kengetallen_energielasten!I$9)</f>
        <v>#VALUE!</v>
      </c>
      <c r="E54" s="118">
        <f>IF(invoer_woningen!J36=0,0,I$10)</f>
        <v>299</v>
      </c>
      <c r="F54" s="118">
        <f t="shared" si="0"/>
        <v>-149.38999999999999</v>
      </c>
      <c r="G54" s="118" t="e">
        <f t="shared" si="1"/>
        <v>#VALUE!</v>
      </c>
      <c r="H54" s="118" t="e">
        <f t="shared" si="2"/>
        <v>#VALUE!</v>
      </c>
    </row>
    <row r="55" spans="1:10" x14ac:dyDescent="0.3">
      <c r="A55" s="1" t="s">
        <v>334</v>
      </c>
      <c r="B55" s="118" t="e">
        <f>invoer_woningen!J37*$I$5</f>
        <v>#VALUE!</v>
      </c>
      <c r="C55" s="118" t="e">
        <f>invoer_woningen!K37*$I$6</f>
        <v>#VALUE!</v>
      </c>
      <c r="D55" s="118" t="e">
        <f>(invoer_woningen!L37*kengetallen_energielasten!I$8*kengetallen_energielasten!I$6)+(invoer_woningen!L37*(1-kengetallen_energielasten!I$8)*kengetallen_energielasten!I$9)</f>
        <v>#VALUE!</v>
      </c>
      <c r="E55" s="118">
        <f>IF(invoer_woningen!J37=0,0,I$10)</f>
        <v>299</v>
      </c>
      <c r="F55" s="118">
        <f t="shared" si="0"/>
        <v>-149.38999999999999</v>
      </c>
      <c r="G55" s="118" t="e">
        <f t="shared" si="1"/>
        <v>#VALUE!</v>
      </c>
      <c r="H55" s="118" t="e">
        <f t="shared" si="2"/>
        <v>#VALUE!</v>
      </c>
    </row>
    <row r="58" spans="1:10" ht="21" x14ac:dyDescent="0.5">
      <c r="B58" s="114" t="s">
        <v>366</v>
      </c>
    </row>
    <row r="60" spans="1:10" x14ac:dyDescent="0.3">
      <c r="A60" s="3" t="s">
        <v>340</v>
      </c>
      <c r="B60" s="3" t="s">
        <v>8</v>
      </c>
      <c r="C60" s="3" t="s">
        <v>9</v>
      </c>
      <c r="D60" s="3" t="s">
        <v>10</v>
      </c>
      <c r="E60" s="4" t="s">
        <v>360</v>
      </c>
      <c r="F60" s="4" t="s">
        <v>361</v>
      </c>
      <c r="G60" s="3" t="s">
        <v>11</v>
      </c>
      <c r="H60" s="4" t="s">
        <v>350</v>
      </c>
      <c r="I60" s="4" t="s">
        <v>352</v>
      </c>
      <c r="J60" s="4" t="s">
        <v>365</v>
      </c>
    </row>
    <row r="61" spans="1:10" x14ac:dyDescent="0.3">
      <c r="A61" s="1" t="s">
        <v>15</v>
      </c>
      <c r="B61" s="118">
        <f>invoer_woningen!N4*$I$5</f>
        <v>0</v>
      </c>
      <c r="C61" s="118">
        <f>invoer_woningen!P4*$I$6</f>
        <v>1551.5</v>
      </c>
      <c r="D61" s="118">
        <f>-(invoer_woningen!Q4*I$8*I$6)-(invoer_woningen!Q4*(1-I$8)*I$9)</f>
        <v>-712</v>
      </c>
      <c r="E61" s="118">
        <f>IF(invoer_woningen!N4=0,0,I$10)</f>
        <v>0</v>
      </c>
      <c r="F61" s="118">
        <f>IF(invoer_woningen!P4=0,0,I$11+I$13)</f>
        <v>-149.38999999999999</v>
      </c>
      <c r="G61" s="118">
        <f>invoer_woningen!O4*I$7</f>
        <v>0</v>
      </c>
      <c r="H61" s="118">
        <f>IF(invoer_woningen!O4=0,0,I$12)</f>
        <v>0</v>
      </c>
      <c r="I61" s="117">
        <f>SUM(B61:H61)</f>
        <v>690.11</v>
      </c>
      <c r="J61" s="118">
        <f>I61/12</f>
        <v>57.509166666666665</v>
      </c>
    </row>
    <row r="62" spans="1:10" x14ac:dyDescent="0.3">
      <c r="A62" s="1" t="s">
        <v>19</v>
      </c>
      <c r="B62" s="118">
        <f>invoer_woningen!N5*$I$5</f>
        <v>0</v>
      </c>
      <c r="C62" s="118">
        <f>invoer_woningen!P5*$I$6</f>
        <v>1551.5</v>
      </c>
      <c r="D62" s="118">
        <f>-(invoer_woningen!Q5*I$8*I$6)-(invoer_woningen!Q5*(1-I$8)*I$9)</f>
        <v>-712</v>
      </c>
      <c r="E62" s="118">
        <f>IF(invoer_woningen!N5=0,0,I$10)</f>
        <v>0</v>
      </c>
      <c r="F62" s="118">
        <f>IF(invoer_woningen!P5=0,0,I$11+I$13)</f>
        <v>-149.38999999999999</v>
      </c>
      <c r="G62" s="118">
        <f>invoer_woningen!O5*I$7</f>
        <v>0</v>
      </c>
      <c r="H62" s="118">
        <f>IF(invoer_woningen!O5=0,0,I$12)</f>
        <v>0</v>
      </c>
      <c r="I62" s="117">
        <f t="shared" ref="I62:I94" si="3">SUM(B62:H62)</f>
        <v>690.11</v>
      </c>
      <c r="J62" s="118">
        <f t="shared" ref="J62:J94" si="4">I62/12</f>
        <v>57.509166666666665</v>
      </c>
    </row>
    <row r="63" spans="1:10" x14ac:dyDescent="0.3">
      <c r="A63" s="1" t="s">
        <v>23</v>
      </c>
      <c r="B63" s="118">
        <f>invoer_woningen!N6*$I$5</f>
        <v>0</v>
      </c>
      <c r="C63" s="118">
        <f>invoer_woningen!P6*$I$6</f>
        <v>1551.5</v>
      </c>
      <c r="D63" s="118">
        <f>-(invoer_woningen!Q6*I$8*I$6)-(invoer_woningen!Q6*(1-I$8)*I$9)</f>
        <v>-712</v>
      </c>
      <c r="E63" s="118">
        <f>IF(invoer_woningen!N6=0,0,I$10)</f>
        <v>0</v>
      </c>
      <c r="F63" s="118">
        <f>IF(invoer_woningen!P6=0,0,I$11+I$13)</f>
        <v>-149.38999999999999</v>
      </c>
      <c r="G63" s="118">
        <f>invoer_woningen!O6*I$7</f>
        <v>0</v>
      </c>
      <c r="H63" s="118">
        <f>IF(invoer_woningen!O6=0,0,I$12)</f>
        <v>0</v>
      </c>
      <c r="I63" s="117">
        <f t="shared" si="3"/>
        <v>690.11</v>
      </c>
      <c r="J63" s="118">
        <f t="shared" si="4"/>
        <v>57.509166666666665</v>
      </c>
    </row>
    <row r="64" spans="1:10" x14ac:dyDescent="0.3">
      <c r="A64" s="1" t="s">
        <v>24</v>
      </c>
      <c r="B64" s="118" t="e">
        <f>invoer_woningen!N7*$I$5</f>
        <v>#VALUE!</v>
      </c>
      <c r="C64" s="118" t="e">
        <f>invoer_woningen!P7*$I$6</f>
        <v>#VALUE!</v>
      </c>
      <c r="D64" s="118" t="e">
        <f>-(invoer_woningen!Q7*I$8*I$6)-(invoer_woningen!Q7*(1-I$8)*I$9)</f>
        <v>#VALUE!</v>
      </c>
      <c r="E64" s="118">
        <f>IF(invoer_woningen!N7=0,0,I$10)</f>
        <v>299</v>
      </c>
      <c r="F64" s="118">
        <f>IF(invoer_woningen!P7=0,0,I$11+I$13)</f>
        <v>-149.38999999999999</v>
      </c>
      <c r="G64" s="118" t="e">
        <f>invoer_woningen!O7*I$7</f>
        <v>#VALUE!</v>
      </c>
      <c r="H64" s="118">
        <f>IF(invoer_woningen!O7=0,0,I$12)</f>
        <v>414</v>
      </c>
      <c r="I64" s="117" t="e">
        <f t="shared" si="3"/>
        <v>#VALUE!</v>
      </c>
      <c r="J64" s="118" t="e">
        <f t="shared" si="4"/>
        <v>#VALUE!</v>
      </c>
    </row>
    <row r="65" spans="1:10" x14ac:dyDescent="0.3">
      <c r="A65" s="1" t="s">
        <v>25</v>
      </c>
      <c r="B65" s="118" t="e">
        <f>invoer_woningen!N8*$I$5</f>
        <v>#VALUE!</v>
      </c>
      <c r="C65" s="118" t="e">
        <f>invoer_woningen!P8*$I$6</f>
        <v>#VALUE!</v>
      </c>
      <c r="D65" s="118" t="e">
        <f>-(invoer_woningen!Q8*I$8*I$6)-(invoer_woningen!Q8*(1-I$8)*I$9)</f>
        <v>#VALUE!</v>
      </c>
      <c r="E65" s="118">
        <f>IF(invoer_woningen!N8=0,0,I$10)</f>
        <v>299</v>
      </c>
      <c r="F65" s="118">
        <f>IF(invoer_woningen!P8=0,0,I$11+I$13)</f>
        <v>-149.38999999999999</v>
      </c>
      <c r="G65" s="118" t="e">
        <f>invoer_woningen!O8*I$7</f>
        <v>#VALUE!</v>
      </c>
      <c r="H65" s="118">
        <f>IF(invoer_woningen!O8=0,0,I$12)</f>
        <v>414</v>
      </c>
      <c r="I65" s="117" t="e">
        <f t="shared" si="3"/>
        <v>#VALUE!</v>
      </c>
      <c r="J65" s="118" t="e">
        <f t="shared" si="4"/>
        <v>#VALUE!</v>
      </c>
    </row>
    <row r="66" spans="1:10" x14ac:dyDescent="0.3">
      <c r="A66" s="1" t="s">
        <v>26</v>
      </c>
      <c r="B66" s="118" t="e">
        <f>invoer_woningen!N9*$I$5</f>
        <v>#VALUE!</v>
      </c>
      <c r="C66" s="118" t="e">
        <f>invoer_woningen!P9*$I$6</f>
        <v>#VALUE!</v>
      </c>
      <c r="D66" s="118" t="e">
        <f>-(invoer_woningen!Q9*I$8*I$6)-(invoer_woningen!Q9*(1-I$8)*I$9)</f>
        <v>#VALUE!</v>
      </c>
      <c r="E66" s="118">
        <f>IF(invoer_woningen!N9=0,0,I$10)</f>
        <v>299</v>
      </c>
      <c r="F66" s="118">
        <f>IF(invoer_woningen!P9=0,0,I$11+I$13)</f>
        <v>-149.38999999999999</v>
      </c>
      <c r="G66" s="118" t="e">
        <f>invoer_woningen!O9*I$7</f>
        <v>#VALUE!</v>
      </c>
      <c r="H66" s="118">
        <f>IF(invoer_woningen!O9=0,0,I$12)</f>
        <v>414</v>
      </c>
      <c r="I66" s="117" t="e">
        <f t="shared" si="3"/>
        <v>#VALUE!</v>
      </c>
      <c r="J66" s="118" t="e">
        <f t="shared" si="4"/>
        <v>#VALUE!</v>
      </c>
    </row>
    <row r="67" spans="1:10" x14ac:dyDescent="0.3">
      <c r="A67" s="1" t="s">
        <v>27</v>
      </c>
      <c r="B67" s="118" t="e">
        <f>invoer_woningen!N10*$I$5</f>
        <v>#VALUE!</v>
      </c>
      <c r="C67" s="118" t="e">
        <f>invoer_woningen!P10*$I$6</f>
        <v>#VALUE!</v>
      </c>
      <c r="D67" s="118" t="e">
        <f>-(invoer_woningen!Q10*I$8*I$6)-(invoer_woningen!Q10*(1-I$8)*I$9)</f>
        <v>#VALUE!</v>
      </c>
      <c r="E67" s="118">
        <f>IF(invoer_woningen!N10=0,0,I$10)</f>
        <v>299</v>
      </c>
      <c r="F67" s="118">
        <f>IF(invoer_woningen!P10=0,0,I$11+I$13)</f>
        <v>-149.38999999999999</v>
      </c>
      <c r="G67" s="118" t="e">
        <f>invoer_woningen!O10*I$7</f>
        <v>#VALUE!</v>
      </c>
      <c r="H67" s="118">
        <f>IF(invoer_woningen!O10=0,0,I$12)</f>
        <v>414</v>
      </c>
      <c r="I67" s="117" t="e">
        <f t="shared" si="3"/>
        <v>#VALUE!</v>
      </c>
      <c r="J67" s="118" t="e">
        <f t="shared" si="4"/>
        <v>#VALUE!</v>
      </c>
    </row>
    <row r="68" spans="1:10" x14ac:dyDescent="0.3">
      <c r="A68" s="1" t="s">
        <v>28</v>
      </c>
      <c r="B68" s="118" t="e">
        <f>invoer_woningen!N11*$I$5</f>
        <v>#VALUE!</v>
      </c>
      <c r="C68" s="118" t="e">
        <f>invoer_woningen!P11*$I$6</f>
        <v>#VALUE!</v>
      </c>
      <c r="D68" s="118" t="e">
        <f>-(invoer_woningen!Q11*I$8*I$6)-(invoer_woningen!Q11*(1-I$8)*I$9)</f>
        <v>#VALUE!</v>
      </c>
      <c r="E68" s="118">
        <f>IF(invoer_woningen!N11=0,0,I$10)</f>
        <v>299</v>
      </c>
      <c r="F68" s="118">
        <f>IF(invoer_woningen!P11=0,0,I$11+I$13)</f>
        <v>-149.38999999999999</v>
      </c>
      <c r="G68" s="118" t="e">
        <f>invoer_woningen!O11*I$7</f>
        <v>#VALUE!</v>
      </c>
      <c r="H68" s="118">
        <f>IF(invoer_woningen!O11=0,0,I$12)</f>
        <v>414</v>
      </c>
      <c r="I68" s="117" t="e">
        <f t="shared" si="3"/>
        <v>#VALUE!</v>
      </c>
      <c r="J68" s="118" t="e">
        <f t="shared" si="4"/>
        <v>#VALUE!</v>
      </c>
    </row>
    <row r="69" spans="1:10" x14ac:dyDescent="0.3">
      <c r="A69" s="1" t="s">
        <v>29</v>
      </c>
      <c r="B69" s="118" t="e">
        <f>invoer_woningen!N12*$I$5</f>
        <v>#VALUE!</v>
      </c>
      <c r="C69" s="118" t="e">
        <f>invoer_woningen!P12*$I$6</f>
        <v>#VALUE!</v>
      </c>
      <c r="D69" s="118" t="e">
        <f>-(invoer_woningen!Q12*I$8*I$6)-(invoer_woningen!Q12*(1-I$8)*I$9)</f>
        <v>#VALUE!</v>
      </c>
      <c r="E69" s="118">
        <f>IF(invoer_woningen!N12=0,0,I$10)</f>
        <v>299</v>
      </c>
      <c r="F69" s="118">
        <f>IF(invoer_woningen!P12=0,0,I$11+I$13)</f>
        <v>-149.38999999999999</v>
      </c>
      <c r="G69" s="118" t="e">
        <f>invoer_woningen!O12*I$7</f>
        <v>#VALUE!</v>
      </c>
      <c r="H69" s="118">
        <f>IF(invoer_woningen!O12=0,0,I$12)</f>
        <v>414</v>
      </c>
      <c r="I69" s="117" t="e">
        <f t="shared" si="3"/>
        <v>#VALUE!</v>
      </c>
      <c r="J69" s="118" t="e">
        <f t="shared" si="4"/>
        <v>#VALUE!</v>
      </c>
    </row>
    <row r="70" spans="1:10" x14ac:dyDescent="0.3">
      <c r="A70" s="1" t="s">
        <v>30</v>
      </c>
      <c r="B70" s="118" t="e">
        <f>invoer_woningen!N13*$I$5</f>
        <v>#VALUE!</v>
      </c>
      <c r="C70" s="118" t="e">
        <f>invoer_woningen!P13*$I$6</f>
        <v>#VALUE!</v>
      </c>
      <c r="D70" s="118" t="e">
        <f>-(invoer_woningen!Q13*I$8*I$6)-(invoer_woningen!Q13*(1-I$8)*I$9)</f>
        <v>#VALUE!</v>
      </c>
      <c r="E70" s="118">
        <f>IF(invoer_woningen!N13=0,0,I$10)</f>
        <v>299</v>
      </c>
      <c r="F70" s="118">
        <f>IF(invoer_woningen!P13=0,0,I$11+I$13)</f>
        <v>-149.38999999999999</v>
      </c>
      <c r="G70" s="118" t="e">
        <f>invoer_woningen!O13*I$7</f>
        <v>#VALUE!</v>
      </c>
      <c r="H70" s="118">
        <f>IF(invoer_woningen!O13=0,0,I$12)</f>
        <v>414</v>
      </c>
      <c r="I70" s="117" t="e">
        <f t="shared" si="3"/>
        <v>#VALUE!</v>
      </c>
      <c r="J70" s="118" t="e">
        <f t="shared" si="4"/>
        <v>#VALUE!</v>
      </c>
    </row>
    <row r="71" spans="1:10" x14ac:dyDescent="0.3">
      <c r="A71" s="1" t="s">
        <v>31</v>
      </c>
      <c r="B71" s="118" t="e">
        <f>invoer_woningen!N14*$I$5</f>
        <v>#VALUE!</v>
      </c>
      <c r="C71" s="118" t="e">
        <f>invoer_woningen!P14*$I$6</f>
        <v>#VALUE!</v>
      </c>
      <c r="D71" s="118" t="e">
        <f>-(invoer_woningen!Q14*I$8*I$6)-(invoer_woningen!Q14*(1-I$8)*I$9)</f>
        <v>#VALUE!</v>
      </c>
      <c r="E71" s="118">
        <f>IF(invoer_woningen!N14=0,0,I$10)</f>
        <v>299</v>
      </c>
      <c r="F71" s="118">
        <f>IF(invoer_woningen!P14=0,0,I$11+I$13)</f>
        <v>-149.38999999999999</v>
      </c>
      <c r="G71" s="118" t="e">
        <f>invoer_woningen!O14*I$7</f>
        <v>#VALUE!</v>
      </c>
      <c r="H71" s="118">
        <f>IF(invoer_woningen!O14=0,0,I$12)</f>
        <v>414</v>
      </c>
      <c r="I71" s="117" t="e">
        <f t="shared" si="3"/>
        <v>#VALUE!</v>
      </c>
      <c r="J71" s="118" t="e">
        <f t="shared" si="4"/>
        <v>#VALUE!</v>
      </c>
    </row>
    <row r="72" spans="1:10" x14ac:dyDescent="0.3">
      <c r="A72" s="1" t="s">
        <v>32</v>
      </c>
      <c r="B72" s="118" t="e">
        <f>invoer_woningen!N15*$I$5</f>
        <v>#VALUE!</v>
      </c>
      <c r="C72" s="118" t="e">
        <f>invoer_woningen!P15*$I$6</f>
        <v>#VALUE!</v>
      </c>
      <c r="D72" s="118" t="e">
        <f>-(invoer_woningen!Q15*I$8*I$6)-(invoer_woningen!Q15*(1-I$8)*I$9)</f>
        <v>#VALUE!</v>
      </c>
      <c r="E72" s="118">
        <f>IF(invoer_woningen!N15=0,0,I$10)</f>
        <v>299</v>
      </c>
      <c r="F72" s="118">
        <f>IF(invoer_woningen!P15=0,0,I$11+I$13)</f>
        <v>-149.38999999999999</v>
      </c>
      <c r="G72" s="118" t="e">
        <f>invoer_woningen!O15*I$7</f>
        <v>#VALUE!</v>
      </c>
      <c r="H72" s="118">
        <f>IF(invoer_woningen!O15=0,0,I$12)</f>
        <v>414</v>
      </c>
      <c r="I72" s="117" t="e">
        <f t="shared" si="3"/>
        <v>#VALUE!</v>
      </c>
      <c r="J72" s="118" t="e">
        <f t="shared" si="4"/>
        <v>#VALUE!</v>
      </c>
    </row>
    <row r="73" spans="1:10" x14ac:dyDescent="0.3">
      <c r="A73" s="1" t="s">
        <v>33</v>
      </c>
      <c r="B73" s="118" t="e">
        <f>invoer_woningen!N16*$I$5</f>
        <v>#VALUE!</v>
      </c>
      <c r="C73" s="118" t="e">
        <f>invoer_woningen!P16*$I$6</f>
        <v>#VALUE!</v>
      </c>
      <c r="D73" s="118" t="e">
        <f>-(invoer_woningen!Q16*I$8*I$6)-(invoer_woningen!Q16*(1-I$8)*I$9)</f>
        <v>#VALUE!</v>
      </c>
      <c r="E73" s="118">
        <f>IF(invoer_woningen!N16=0,0,I$10)</f>
        <v>299</v>
      </c>
      <c r="F73" s="118">
        <f>IF(invoer_woningen!P16=0,0,I$11+I$13)</f>
        <v>-149.38999999999999</v>
      </c>
      <c r="G73" s="118" t="e">
        <f>invoer_woningen!O16*I$7</f>
        <v>#VALUE!</v>
      </c>
      <c r="H73" s="118">
        <f>IF(invoer_woningen!O16=0,0,I$12)</f>
        <v>414</v>
      </c>
      <c r="I73" s="117" t="e">
        <f t="shared" si="3"/>
        <v>#VALUE!</v>
      </c>
      <c r="J73" s="118" t="e">
        <f t="shared" si="4"/>
        <v>#VALUE!</v>
      </c>
    </row>
    <row r="74" spans="1:10" x14ac:dyDescent="0.3">
      <c r="A74" s="1" t="s">
        <v>34</v>
      </c>
      <c r="B74" s="118" t="e">
        <f>invoer_woningen!N17*$I$5</f>
        <v>#VALUE!</v>
      </c>
      <c r="C74" s="118" t="e">
        <f>invoer_woningen!P17*$I$6</f>
        <v>#VALUE!</v>
      </c>
      <c r="D74" s="118" t="e">
        <f>-(invoer_woningen!Q17*I$8*I$6)-(invoer_woningen!Q17*(1-I$8)*I$9)</f>
        <v>#VALUE!</v>
      </c>
      <c r="E74" s="118">
        <f>IF(invoer_woningen!N17=0,0,I$10)</f>
        <v>299</v>
      </c>
      <c r="F74" s="118">
        <f>IF(invoer_woningen!P17=0,0,I$11+I$13)</f>
        <v>-149.38999999999999</v>
      </c>
      <c r="G74" s="118" t="e">
        <f>invoer_woningen!O17*I$7</f>
        <v>#VALUE!</v>
      </c>
      <c r="H74" s="118">
        <f>IF(invoer_woningen!O17=0,0,I$12)</f>
        <v>414</v>
      </c>
      <c r="I74" s="117" t="e">
        <f t="shared" si="3"/>
        <v>#VALUE!</v>
      </c>
      <c r="J74" s="118" t="e">
        <f t="shared" si="4"/>
        <v>#VALUE!</v>
      </c>
    </row>
    <row r="75" spans="1:10" x14ac:dyDescent="0.3">
      <c r="A75" s="1" t="s">
        <v>35</v>
      </c>
      <c r="B75" s="118" t="e">
        <f>invoer_woningen!N18*$I$5</f>
        <v>#VALUE!</v>
      </c>
      <c r="C75" s="118" t="e">
        <f>invoer_woningen!P18*$I$6</f>
        <v>#VALUE!</v>
      </c>
      <c r="D75" s="118" t="e">
        <f>-(invoer_woningen!Q18*I$8*I$6)-(invoer_woningen!Q18*(1-I$8)*I$9)</f>
        <v>#VALUE!</v>
      </c>
      <c r="E75" s="118">
        <f>IF(invoer_woningen!N18=0,0,I$10)</f>
        <v>299</v>
      </c>
      <c r="F75" s="118">
        <f>IF(invoer_woningen!P18=0,0,I$11+I$13)</f>
        <v>-149.38999999999999</v>
      </c>
      <c r="G75" s="118" t="e">
        <f>invoer_woningen!O18*I$7</f>
        <v>#VALUE!</v>
      </c>
      <c r="H75" s="118">
        <f>IF(invoer_woningen!O18=0,0,I$12)</f>
        <v>414</v>
      </c>
      <c r="I75" s="117" t="e">
        <f t="shared" si="3"/>
        <v>#VALUE!</v>
      </c>
      <c r="J75" s="118" t="e">
        <f t="shared" si="4"/>
        <v>#VALUE!</v>
      </c>
    </row>
    <row r="76" spans="1:10" x14ac:dyDescent="0.3">
      <c r="A76" s="1" t="s">
        <v>36</v>
      </c>
      <c r="B76" s="118" t="e">
        <f>invoer_woningen!N19*$I$5</f>
        <v>#VALUE!</v>
      </c>
      <c r="C76" s="118" t="e">
        <f>invoer_woningen!P19*$I$6</f>
        <v>#VALUE!</v>
      </c>
      <c r="D76" s="118" t="e">
        <f>-(invoer_woningen!Q19*I$8*I$6)-(invoer_woningen!Q19*(1-I$8)*I$9)</f>
        <v>#VALUE!</v>
      </c>
      <c r="E76" s="118">
        <f>IF(invoer_woningen!N19=0,0,I$10)</f>
        <v>299</v>
      </c>
      <c r="F76" s="118">
        <f>IF(invoer_woningen!P19=0,0,I$11+I$13)</f>
        <v>-149.38999999999999</v>
      </c>
      <c r="G76" s="118" t="e">
        <f>invoer_woningen!O19*I$7</f>
        <v>#VALUE!</v>
      </c>
      <c r="H76" s="118">
        <f>IF(invoer_woningen!O19=0,0,I$12)</f>
        <v>414</v>
      </c>
      <c r="I76" s="117" t="e">
        <f t="shared" si="3"/>
        <v>#VALUE!</v>
      </c>
      <c r="J76" s="118" t="e">
        <f t="shared" si="4"/>
        <v>#VALUE!</v>
      </c>
    </row>
    <row r="77" spans="1:10" x14ac:dyDescent="0.3">
      <c r="A77" s="1" t="s">
        <v>297</v>
      </c>
      <c r="B77" s="118" t="e">
        <f>invoer_woningen!N20*$I$5</f>
        <v>#VALUE!</v>
      </c>
      <c r="C77" s="118" t="e">
        <f>invoer_woningen!P20*$I$6</f>
        <v>#VALUE!</v>
      </c>
      <c r="D77" s="118" t="e">
        <f>-(invoer_woningen!Q20*I$8*I$6)-(invoer_woningen!Q20*(1-I$8)*I$9)</f>
        <v>#VALUE!</v>
      </c>
      <c r="E77" s="118">
        <f>IF(invoer_woningen!N20=0,0,I$10)</f>
        <v>299</v>
      </c>
      <c r="F77" s="118">
        <f>IF(invoer_woningen!P20=0,0,I$11+I$13)</f>
        <v>-149.38999999999999</v>
      </c>
      <c r="G77" s="118" t="e">
        <f>invoer_woningen!O20*I$7</f>
        <v>#VALUE!</v>
      </c>
      <c r="H77" s="118">
        <f>IF(invoer_woningen!O20=0,0,I$12)</f>
        <v>414</v>
      </c>
      <c r="I77" s="117" t="e">
        <f t="shared" si="3"/>
        <v>#VALUE!</v>
      </c>
      <c r="J77" s="118" t="e">
        <f t="shared" si="4"/>
        <v>#VALUE!</v>
      </c>
    </row>
    <row r="78" spans="1:10" x14ac:dyDescent="0.3">
      <c r="A78" s="1" t="s">
        <v>298</v>
      </c>
      <c r="B78" s="118" t="e">
        <f>invoer_woningen!N21*$I$5</f>
        <v>#VALUE!</v>
      </c>
      <c r="C78" s="118" t="e">
        <f>invoer_woningen!P21*$I$6</f>
        <v>#VALUE!</v>
      </c>
      <c r="D78" s="118" t="e">
        <f>-(invoer_woningen!Q21*I$8*I$6)-(invoer_woningen!Q21*(1-I$8)*I$9)</f>
        <v>#VALUE!</v>
      </c>
      <c r="E78" s="118">
        <f>IF(invoer_woningen!N21=0,0,I$10)</f>
        <v>299</v>
      </c>
      <c r="F78" s="118">
        <f>IF(invoer_woningen!P21=0,0,I$11+I$13)</f>
        <v>-149.38999999999999</v>
      </c>
      <c r="G78" s="118" t="e">
        <f>invoer_woningen!O21*I$7</f>
        <v>#VALUE!</v>
      </c>
      <c r="H78" s="118">
        <f>IF(invoer_woningen!O21=0,0,I$12)</f>
        <v>414</v>
      </c>
      <c r="I78" s="117" t="e">
        <f t="shared" si="3"/>
        <v>#VALUE!</v>
      </c>
      <c r="J78" s="118" t="e">
        <f t="shared" si="4"/>
        <v>#VALUE!</v>
      </c>
    </row>
    <row r="79" spans="1:10" x14ac:dyDescent="0.3">
      <c r="A79" s="1" t="s">
        <v>299</v>
      </c>
      <c r="B79" s="118" t="e">
        <f>invoer_woningen!N22*$I$5</f>
        <v>#VALUE!</v>
      </c>
      <c r="C79" s="118" t="e">
        <f>invoer_woningen!P22*$I$6</f>
        <v>#VALUE!</v>
      </c>
      <c r="D79" s="118" t="e">
        <f>-(invoer_woningen!Q22*I$8*I$6)-(invoer_woningen!Q22*(1-I$8)*I$9)</f>
        <v>#VALUE!</v>
      </c>
      <c r="E79" s="118">
        <f>IF(invoer_woningen!N22=0,0,I$10)</f>
        <v>299</v>
      </c>
      <c r="F79" s="118">
        <f>IF(invoer_woningen!P22=0,0,I$11+I$13)</f>
        <v>-149.38999999999999</v>
      </c>
      <c r="G79" s="118" t="e">
        <f>invoer_woningen!O22*I$7</f>
        <v>#VALUE!</v>
      </c>
      <c r="H79" s="118">
        <f>IF(invoer_woningen!O22=0,0,I$12)</f>
        <v>414</v>
      </c>
      <c r="I79" s="117" t="e">
        <f t="shared" si="3"/>
        <v>#VALUE!</v>
      </c>
      <c r="J79" s="118" t="e">
        <f t="shared" si="4"/>
        <v>#VALUE!</v>
      </c>
    </row>
    <row r="80" spans="1:10" x14ac:dyDescent="0.3">
      <c r="A80" s="1" t="s">
        <v>300</v>
      </c>
      <c r="B80" s="118" t="e">
        <f>invoer_woningen!N23*$I$5</f>
        <v>#VALUE!</v>
      </c>
      <c r="C80" s="118" t="e">
        <f>invoer_woningen!P23*$I$6</f>
        <v>#VALUE!</v>
      </c>
      <c r="D80" s="118" t="e">
        <f>-(invoer_woningen!Q23*I$8*I$6)-(invoer_woningen!Q23*(1-I$8)*I$9)</f>
        <v>#VALUE!</v>
      </c>
      <c r="E80" s="118">
        <f>IF(invoer_woningen!N23=0,0,I$10)</f>
        <v>299</v>
      </c>
      <c r="F80" s="118">
        <f>IF(invoer_woningen!P23=0,0,I$11+I$13)</f>
        <v>-149.38999999999999</v>
      </c>
      <c r="G80" s="118" t="e">
        <f>invoer_woningen!O23*I$7</f>
        <v>#VALUE!</v>
      </c>
      <c r="H80" s="118">
        <f>IF(invoer_woningen!O23=0,0,I$12)</f>
        <v>414</v>
      </c>
      <c r="I80" s="117" t="e">
        <f t="shared" si="3"/>
        <v>#VALUE!</v>
      </c>
      <c r="J80" s="118" t="e">
        <f t="shared" si="4"/>
        <v>#VALUE!</v>
      </c>
    </row>
    <row r="81" spans="1:10" x14ac:dyDescent="0.3">
      <c r="A81" s="1" t="s">
        <v>301</v>
      </c>
      <c r="B81" s="118" t="e">
        <f>invoer_woningen!N24*$I$5</f>
        <v>#VALUE!</v>
      </c>
      <c r="C81" s="118" t="e">
        <f>invoer_woningen!P24*$I$6</f>
        <v>#VALUE!</v>
      </c>
      <c r="D81" s="118" t="e">
        <f>-(invoer_woningen!Q24*I$8*I$6)-(invoer_woningen!Q24*(1-I$8)*I$9)</f>
        <v>#VALUE!</v>
      </c>
      <c r="E81" s="118">
        <f>IF(invoer_woningen!N24=0,0,I$10)</f>
        <v>299</v>
      </c>
      <c r="F81" s="118">
        <f>IF(invoer_woningen!P24=0,0,I$11+I$13)</f>
        <v>-149.38999999999999</v>
      </c>
      <c r="G81" s="118" t="e">
        <f>invoer_woningen!O24*I$7</f>
        <v>#VALUE!</v>
      </c>
      <c r="H81" s="118">
        <f>IF(invoer_woningen!O24=0,0,I$12)</f>
        <v>414</v>
      </c>
      <c r="I81" s="117" t="e">
        <f t="shared" si="3"/>
        <v>#VALUE!</v>
      </c>
      <c r="J81" s="118" t="e">
        <f t="shared" si="4"/>
        <v>#VALUE!</v>
      </c>
    </row>
    <row r="82" spans="1:10" x14ac:dyDescent="0.3">
      <c r="A82" s="1" t="s">
        <v>302</v>
      </c>
      <c r="B82" s="118" t="e">
        <f>invoer_woningen!N25*$I$5</f>
        <v>#VALUE!</v>
      </c>
      <c r="C82" s="118" t="e">
        <f>invoer_woningen!P25*$I$6</f>
        <v>#VALUE!</v>
      </c>
      <c r="D82" s="118" t="e">
        <f>-(invoer_woningen!Q25*I$8*I$6)-(invoer_woningen!Q25*(1-I$8)*I$9)</f>
        <v>#VALUE!</v>
      </c>
      <c r="E82" s="118">
        <f>IF(invoer_woningen!N25=0,0,I$10)</f>
        <v>299</v>
      </c>
      <c r="F82" s="118">
        <f>IF(invoer_woningen!P25=0,0,I$11+I$13)</f>
        <v>-149.38999999999999</v>
      </c>
      <c r="G82" s="118" t="e">
        <f>invoer_woningen!O25*I$7</f>
        <v>#VALUE!</v>
      </c>
      <c r="H82" s="118">
        <f>IF(invoer_woningen!O25=0,0,I$12)</f>
        <v>414</v>
      </c>
      <c r="I82" s="117" t="e">
        <f t="shared" si="3"/>
        <v>#VALUE!</v>
      </c>
      <c r="J82" s="118" t="e">
        <f t="shared" si="4"/>
        <v>#VALUE!</v>
      </c>
    </row>
    <row r="83" spans="1:10" x14ac:dyDescent="0.3">
      <c r="A83" s="1" t="s">
        <v>303</v>
      </c>
      <c r="B83" s="118" t="e">
        <f>invoer_woningen!N26*$I$5</f>
        <v>#VALUE!</v>
      </c>
      <c r="C83" s="118" t="e">
        <f>invoer_woningen!P26*$I$6</f>
        <v>#VALUE!</v>
      </c>
      <c r="D83" s="118" t="e">
        <f>-(invoer_woningen!Q26*I$8*I$6)-(invoer_woningen!Q26*(1-I$8)*I$9)</f>
        <v>#VALUE!</v>
      </c>
      <c r="E83" s="118">
        <f>IF(invoer_woningen!N26=0,0,I$10)</f>
        <v>299</v>
      </c>
      <c r="F83" s="118">
        <f>IF(invoer_woningen!P26=0,0,I$11+I$13)</f>
        <v>-149.38999999999999</v>
      </c>
      <c r="G83" s="118" t="e">
        <f>invoer_woningen!O26*I$7</f>
        <v>#VALUE!</v>
      </c>
      <c r="H83" s="118">
        <f>IF(invoer_woningen!O26=0,0,I$12)</f>
        <v>414</v>
      </c>
      <c r="I83" s="117" t="e">
        <f t="shared" si="3"/>
        <v>#VALUE!</v>
      </c>
      <c r="J83" s="118" t="e">
        <f t="shared" si="4"/>
        <v>#VALUE!</v>
      </c>
    </row>
    <row r="84" spans="1:10" x14ac:dyDescent="0.3">
      <c r="A84" s="1" t="s">
        <v>304</v>
      </c>
      <c r="B84" s="118" t="e">
        <f>invoer_woningen!N27*$I$5</f>
        <v>#VALUE!</v>
      </c>
      <c r="C84" s="118" t="e">
        <f>invoer_woningen!P27*$I$6</f>
        <v>#VALUE!</v>
      </c>
      <c r="D84" s="118" t="e">
        <f>-(invoer_woningen!Q27*I$8*I$6)-(invoer_woningen!Q27*(1-I$8)*I$9)</f>
        <v>#VALUE!</v>
      </c>
      <c r="E84" s="118">
        <f>IF(invoer_woningen!N27=0,0,I$10)</f>
        <v>299</v>
      </c>
      <c r="F84" s="118">
        <f>IF(invoer_woningen!P27=0,0,I$11+I$13)</f>
        <v>-149.38999999999999</v>
      </c>
      <c r="G84" s="118" t="e">
        <f>invoer_woningen!O27*I$7</f>
        <v>#VALUE!</v>
      </c>
      <c r="H84" s="118">
        <f>IF(invoer_woningen!O27=0,0,I$12)</f>
        <v>414</v>
      </c>
      <c r="I84" s="117" t="e">
        <f t="shared" si="3"/>
        <v>#VALUE!</v>
      </c>
      <c r="J84" s="118" t="e">
        <f t="shared" si="4"/>
        <v>#VALUE!</v>
      </c>
    </row>
    <row r="85" spans="1:10" x14ac:dyDescent="0.3">
      <c r="A85" s="1" t="s">
        <v>325</v>
      </c>
      <c r="B85" s="118" t="e">
        <f>invoer_woningen!N28*$I$5</f>
        <v>#VALUE!</v>
      </c>
      <c r="C85" s="118" t="e">
        <f>invoer_woningen!P28*$I$6</f>
        <v>#VALUE!</v>
      </c>
      <c r="D85" s="118" t="e">
        <f>-(invoer_woningen!Q28*I$8*I$6)-(invoer_woningen!Q28*(1-I$8)*I$9)</f>
        <v>#VALUE!</v>
      </c>
      <c r="E85" s="118">
        <f>IF(invoer_woningen!N28=0,0,I$10)</f>
        <v>299</v>
      </c>
      <c r="F85" s="118">
        <f>IF(invoer_woningen!P28=0,0,I$11+I$13)</f>
        <v>-149.38999999999999</v>
      </c>
      <c r="G85" s="118" t="e">
        <f>invoer_woningen!O28*I$7</f>
        <v>#VALUE!</v>
      </c>
      <c r="H85" s="118">
        <f>IF(invoer_woningen!O28=0,0,I$12)</f>
        <v>414</v>
      </c>
      <c r="I85" s="117" t="e">
        <f t="shared" si="3"/>
        <v>#VALUE!</v>
      </c>
      <c r="J85" s="118" t="e">
        <f t="shared" si="4"/>
        <v>#VALUE!</v>
      </c>
    </row>
    <row r="86" spans="1:10" x14ac:dyDescent="0.3">
      <c r="A86" s="1" t="s">
        <v>326</v>
      </c>
      <c r="B86" s="118" t="e">
        <f>invoer_woningen!N29*$I$5</f>
        <v>#VALUE!</v>
      </c>
      <c r="C86" s="118" t="e">
        <f>invoer_woningen!P29*$I$6</f>
        <v>#VALUE!</v>
      </c>
      <c r="D86" s="118" t="e">
        <f>-(invoer_woningen!Q29*I$8*I$6)-(invoer_woningen!Q29*(1-I$8)*I$9)</f>
        <v>#VALUE!</v>
      </c>
      <c r="E86" s="118">
        <f>IF(invoer_woningen!N29=0,0,I$10)</f>
        <v>299</v>
      </c>
      <c r="F86" s="118">
        <f>IF(invoer_woningen!P29=0,0,I$11+I$13)</f>
        <v>-149.38999999999999</v>
      </c>
      <c r="G86" s="118" t="e">
        <f>invoer_woningen!O29*I$7</f>
        <v>#VALUE!</v>
      </c>
      <c r="H86" s="118">
        <f>IF(invoer_woningen!O29=0,0,I$12)</f>
        <v>414</v>
      </c>
      <c r="I86" s="117" t="e">
        <f t="shared" si="3"/>
        <v>#VALUE!</v>
      </c>
      <c r="J86" s="118" t="e">
        <f t="shared" si="4"/>
        <v>#VALUE!</v>
      </c>
    </row>
    <row r="87" spans="1:10" x14ac:dyDescent="0.3">
      <c r="A87" s="1" t="s">
        <v>327</v>
      </c>
      <c r="B87" s="118" t="e">
        <f>invoer_woningen!N30*$I$5</f>
        <v>#VALUE!</v>
      </c>
      <c r="C87" s="118" t="e">
        <f>invoer_woningen!P30*$I$6</f>
        <v>#VALUE!</v>
      </c>
      <c r="D87" s="118" t="e">
        <f>-(invoer_woningen!Q30*I$8*I$6)-(invoer_woningen!Q30*(1-I$8)*I$9)</f>
        <v>#VALUE!</v>
      </c>
      <c r="E87" s="118">
        <f>IF(invoer_woningen!N30=0,0,I$10)</f>
        <v>299</v>
      </c>
      <c r="F87" s="118">
        <f>IF(invoer_woningen!P30=0,0,I$11+I$13)</f>
        <v>-149.38999999999999</v>
      </c>
      <c r="G87" s="118" t="e">
        <f>invoer_woningen!O30*I$7</f>
        <v>#VALUE!</v>
      </c>
      <c r="H87" s="118">
        <f>IF(invoer_woningen!O30=0,0,I$12)</f>
        <v>414</v>
      </c>
      <c r="I87" s="117" t="e">
        <f t="shared" si="3"/>
        <v>#VALUE!</v>
      </c>
      <c r="J87" s="118" t="e">
        <f t="shared" si="4"/>
        <v>#VALUE!</v>
      </c>
    </row>
    <row r="88" spans="1:10" x14ac:dyDescent="0.3">
      <c r="A88" s="1" t="s">
        <v>328</v>
      </c>
      <c r="B88" s="118" t="e">
        <f>invoer_woningen!N31*$I$5</f>
        <v>#VALUE!</v>
      </c>
      <c r="C88" s="118" t="e">
        <f>invoer_woningen!P31*$I$6</f>
        <v>#VALUE!</v>
      </c>
      <c r="D88" s="118" t="e">
        <f>-(invoer_woningen!Q31*I$8*I$6)-(invoer_woningen!Q31*(1-I$8)*I$9)</f>
        <v>#VALUE!</v>
      </c>
      <c r="E88" s="118">
        <f>IF(invoer_woningen!N31=0,0,I$10)</f>
        <v>299</v>
      </c>
      <c r="F88" s="118">
        <f>IF(invoer_woningen!P31=0,0,I$11+I$13)</f>
        <v>-149.38999999999999</v>
      </c>
      <c r="G88" s="118" t="e">
        <f>invoer_woningen!O31*I$7</f>
        <v>#VALUE!</v>
      </c>
      <c r="H88" s="118">
        <f>IF(invoer_woningen!O31=0,0,I$12)</f>
        <v>414</v>
      </c>
      <c r="I88" s="117" t="e">
        <f t="shared" si="3"/>
        <v>#VALUE!</v>
      </c>
      <c r="J88" s="118" t="e">
        <f t="shared" si="4"/>
        <v>#VALUE!</v>
      </c>
    </row>
    <row r="89" spans="1:10" x14ac:dyDescent="0.3">
      <c r="A89" s="1" t="s">
        <v>329</v>
      </c>
      <c r="B89" s="118" t="e">
        <f>invoer_woningen!N32*$I$5</f>
        <v>#VALUE!</v>
      </c>
      <c r="C89" s="118" t="e">
        <f>invoer_woningen!P32*$I$6</f>
        <v>#VALUE!</v>
      </c>
      <c r="D89" s="118" t="e">
        <f>-(invoer_woningen!Q32*I$8*I$6)-(invoer_woningen!Q32*(1-I$8)*I$9)</f>
        <v>#VALUE!</v>
      </c>
      <c r="E89" s="118">
        <f>IF(invoer_woningen!N32=0,0,I$10)</f>
        <v>299</v>
      </c>
      <c r="F89" s="118">
        <f>IF(invoer_woningen!P32=0,0,I$11+I$13)</f>
        <v>-149.38999999999999</v>
      </c>
      <c r="G89" s="118" t="e">
        <f>invoer_woningen!O32*I$7</f>
        <v>#VALUE!</v>
      </c>
      <c r="H89" s="118">
        <f>IF(invoer_woningen!O32=0,0,I$12)</f>
        <v>414</v>
      </c>
      <c r="I89" s="117" t="e">
        <f t="shared" si="3"/>
        <v>#VALUE!</v>
      </c>
      <c r="J89" s="118" t="e">
        <f t="shared" si="4"/>
        <v>#VALUE!</v>
      </c>
    </row>
    <row r="90" spans="1:10" x14ac:dyDescent="0.3">
      <c r="A90" s="1" t="s">
        <v>330</v>
      </c>
      <c r="B90" s="118" t="e">
        <f>invoer_woningen!N33*$I$5</f>
        <v>#VALUE!</v>
      </c>
      <c r="C90" s="118" t="e">
        <f>invoer_woningen!P33*$I$6</f>
        <v>#VALUE!</v>
      </c>
      <c r="D90" s="118" t="e">
        <f>-(invoer_woningen!Q33*I$8*I$6)-(invoer_woningen!Q33*(1-I$8)*I$9)</f>
        <v>#VALUE!</v>
      </c>
      <c r="E90" s="118">
        <f>IF(invoer_woningen!N33=0,0,I$10)</f>
        <v>299</v>
      </c>
      <c r="F90" s="118">
        <f>IF(invoer_woningen!P33=0,0,I$11+I$13)</f>
        <v>-149.38999999999999</v>
      </c>
      <c r="G90" s="118" t="e">
        <f>invoer_woningen!O33*I$7</f>
        <v>#VALUE!</v>
      </c>
      <c r="H90" s="118">
        <f>IF(invoer_woningen!O33=0,0,I$12)</f>
        <v>414</v>
      </c>
      <c r="I90" s="117" t="e">
        <f t="shared" si="3"/>
        <v>#VALUE!</v>
      </c>
      <c r="J90" s="118" t="e">
        <f t="shared" si="4"/>
        <v>#VALUE!</v>
      </c>
    </row>
    <row r="91" spans="1:10" x14ac:dyDescent="0.3">
      <c r="A91" s="1" t="s">
        <v>331</v>
      </c>
      <c r="B91" s="118" t="e">
        <f>invoer_woningen!N34*$I$5</f>
        <v>#VALUE!</v>
      </c>
      <c r="C91" s="118" t="e">
        <f>invoer_woningen!P34*$I$6</f>
        <v>#VALUE!</v>
      </c>
      <c r="D91" s="118" t="e">
        <f>-(invoer_woningen!Q34*I$8*I$6)-(invoer_woningen!Q34*(1-I$8)*I$9)</f>
        <v>#VALUE!</v>
      </c>
      <c r="E91" s="118">
        <f>IF(invoer_woningen!N34=0,0,I$10)</f>
        <v>299</v>
      </c>
      <c r="F91" s="118">
        <f>IF(invoer_woningen!P34=0,0,I$11+I$13)</f>
        <v>-149.38999999999999</v>
      </c>
      <c r="G91" s="118" t="e">
        <f>invoer_woningen!O34*I$7</f>
        <v>#VALUE!</v>
      </c>
      <c r="H91" s="118">
        <f>IF(invoer_woningen!O34=0,0,I$12)</f>
        <v>414</v>
      </c>
      <c r="I91" s="117" t="e">
        <f t="shared" si="3"/>
        <v>#VALUE!</v>
      </c>
      <c r="J91" s="118" t="e">
        <f t="shared" si="4"/>
        <v>#VALUE!</v>
      </c>
    </row>
    <row r="92" spans="1:10" x14ac:dyDescent="0.3">
      <c r="A92" s="1" t="s">
        <v>332</v>
      </c>
      <c r="B92" s="118" t="e">
        <f>invoer_woningen!N35*$I$5</f>
        <v>#VALUE!</v>
      </c>
      <c r="C92" s="118" t="e">
        <f>invoer_woningen!P35*$I$6</f>
        <v>#VALUE!</v>
      </c>
      <c r="D92" s="118" t="e">
        <f>-(invoer_woningen!Q35*I$8*I$6)-(invoer_woningen!Q35*(1-I$8)*I$9)</f>
        <v>#VALUE!</v>
      </c>
      <c r="E92" s="118">
        <f>IF(invoer_woningen!N35=0,0,I$10)</f>
        <v>299</v>
      </c>
      <c r="F92" s="118">
        <f>IF(invoer_woningen!P35=0,0,I$11+I$13)</f>
        <v>-149.38999999999999</v>
      </c>
      <c r="G92" s="118" t="e">
        <f>invoer_woningen!O35*I$7</f>
        <v>#VALUE!</v>
      </c>
      <c r="H92" s="118">
        <f>IF(invoer_woningen!O35=0,0,I$12)</f>
        <v>414</v>
      </c>
      <c r="I92" s="117" t="e">
        <f t="shared" si="3"/>
        <v>#VALUE!</v>
      </c>
      <c r="J92" s="118" t="e">
        <f t="shared" si="4"/>
        <v>#VALUE!</v>
      </c>
    </row>
    <row r="93" spans="1:10" x14ac:dyDescent="0.3">
      <c r="A93" s="1" t="s">
        <v>333</v>
      </c>
      <c r="B93" s="118" t="e">
        <f>invoer_woningen!N36*$I$5</f>
        <v>#VALUE!</v>
      </c>
      <c r="C93" s="118" t="e">
        <f>invoer_woningen!P36*$I$6</f>
        <v>#VALUE!</v>
      </c>
      <c r="D93" s="118" t="e">
        <f>-(invoer_woningen!Q36*I$8*I$6)-(invoer_woningen!Q36*(1-I$8)*I$9)</f>
        <v>#VALUE!</v>
      </c>
      <c r="E93" s="118">
        <f>IF(invoer_woningen!N36=0,0,I$10)</f>
        <v>299</v>
      </c>
      <c r="F93" s="118">
        <f>IF(invoer_woningen!P36=0,0,I$11+I$13)</f>
        <v>-149.38999999999999</v>
      </c>
      <c r="G93" s="118" t="e">
        <f>invoer_woningen!O36*I$7</f>
        <v>#VALUE!</v>
      </c>
      <c r="H93" s="118">
        <f>IF(invoer_woningen!O36=0,0,I$12)</f>
        <v>414</v>
      </c>
      <c r="I93" s="117" t="e">
        <f t="shared" si="3"/>
        <v>#VALUE!</v>
      </c>
      <c r="J93" s="118" t="e">
        <f t="shared" si="4"/>
        <v>#VALUE!</v>
      </c>
    </row>
    <row r="94" spans="1:10" x14ac:dyDescent="0.3">
      <c r="A94" s="1" t="s">
        <v>334</v>
      </c>
      <c r="B94" s="118" t="e">
        <f>invoer_woningen!N37*$I$5</f>
        <v>#VALUE!</v>
      </c>
      <c r="C94" s="118" t="e">
        <f>invoer_woningen!P37*$I$6</f>
        <v>#VALUE!</v>
      </c>
      <c r="D94" s="118" t="e">
        <f>-(invoer_woningen!Q37*I$8*I$6)-(invoer_woningen!Q37*(1-I$8)*I$9)</f>
        <v>#VALUE!</v>
      </c>
      <c r="E94" s="118">
        <f>IF(invoer_woningen!N37=0,0,I$10)</f>
        <v>299</v>
      </c>
      <c r="F94" s="118">
        <f>IF(invoer_woningen!P37=0,0,I$11+I$13)</f>
        <v>-149.38999999999999</v>
      </c>
      <c r="G94" s="118" t="e">
        <f>invoer_woningen!O37*I$7</f>
        <v>#VALUE!</v>
      </c>
      <c r="H94" s="118">
        <f>IF(invoer_woningen!O37=0,0,I$12)</f>
        <v>414</v>
      </c>
      <c r="I94" s="117" t="e">
        <f t="shared" si="3"/>
        <v>#VALUE!</v>
      </c>
      <c r="J94" s="118" t="e">
        <f t="shared" si="4"/>
        <v>#VALUE!</v>
      </c>
    </row>
    <row r="97" spans="1:1" ht="21" x14ac:dyDescent="0.5">
      <c r="A97" s="113" t="s">
        <v>371</v>
      </c>
    </row>
    <row r="98" spans="1:1" x14ac:dyDescent="0.3">
      <c r="A98" s="122" t="s">
        <v>372</v>
      </c>
    </row>
  </sheetData>
  <sheetProtection algorithmName="SHA-512" hashValue="iqoCsdRyFZl/lR6OnYpZ9mhj0a4Jnzl+Sc444dYKeBftVHjSeL6ZBQ3gAWhM2vxSjkHUk54h+W4+a6rK6Zlm8g==" saltValue="M7iJZ7pUsm7P/GpmFwErZA=="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44DBA-3AAE-48E0-BE61-E1CC148CBE4C}">
  <dimension ref="A1:C249"/>
  <sheetViews>
    <sheetView tabSelected="1" workbookViewId="0">
      <selection activeCell="A6" sqref="A6"/>
    </sheetView>
  </sheetViews>
  <sheetFormatPr defaultColWidth="8.8984375" defaultRowHeight="13" x14ac:dyDescent="0.3"/>
  <cols>
    <col min="1" max="1" width="32.8984375" style="2" customWidth="1"/>
    <col min="2" max="2" width="27.09765625" style="1" customWidth="1"/>
    <col min="3" max="3" width="18.09765625" style="1" customWidth="1"/>
    <col min="4" max="16384" width="8.8984375" style="2"/>
  </cols>
  <sheetData>
    <row r="1" spans="1:3" ht="22" x14ac:dyDescent="0.3">
      <c r="A1" s="98" t="s">
        <v>308</v>
      </c>
    </row>
    <row r="3" spans="1:3" x14ac:dyDescent="0.3">
      <c r="A3" s="2" t="s">
        <v>307</v>
      </c>
    </row>
    <row r="4" spans="1:3" x14ac:dyDescent="0.3">
      <c r="A4" s="2" t="s">
        <v>402</v>
      </c>
    </row>
    <row r="5" spans="1:3" x14ac:dyDescent="0.3">
      <c r="A5" s="2" t="s">
        <v>309</v>
      </c>
    </row>
    <row r="6" spans="1:3" x14ac:dyDescent="0.3">
      <c r="A6" s="2" t="s">
        <v>387</v>
      </c>
    </row>
    <row r="7" spans="1:3" x14ac:dyDescent="0.3">
      <c r="A7" s="2" t="s">
        <v>388</v>
      </c>
    </row>
    <row r="9" spans="1:3" ht="26" x14ac:dyDescent="0.3">
      <c r="A9" s="4" t="s">
        <v>3</v>
      </c>
      <c r="B9" s="31" t="s">
        <v>385</v>
      </c>
      <c r="C9" s="3"/>
    </row>
    <row r="10" spans="1:3" x14ac:dyDescent="0.3">
      <c r="A10" s="2" t="s">
        <v>59</v>
      </c>
      <c r="B10" s="99">
        <v>3100</v>
      </c>
      <c r="C10" s="20" t="s">
        <v>386</v>
      </c>
    </row>
    <row r="11" spans="1:3" x14ac:dyDescent="0.3">
      <c r="A11" s="2" t="s">
        <v>56</v>
      </c>
      <c r="B11" s="99">
        <v>1500</v>
      </c>
      <c r="C11" s="20" t="s">
        <v>386</v>
      </c>
    </row>
    <row r="12" spans="1:3" x14ac:dyDescent="0.3">
      <c r="A12" s="2" t="s">
        <v>20</v>
      </c>
      <c r="B12" s="99">
        <v>2350</v>
      </c>
      <c r="C12" s="20" t="s">
        <v>386</v>
      </c>
    </row>
    <row r="13" spans="1:3" x14ac:dyDescent="0.3">
      <c r="A13" s="2" t="s">
        <v>16</v>
      </c>
      <c r="B13" s="99">
        <v>2350</v>
      </c>
      <c r="C13" s="20" t="s">
        <v>386</v>
      </c>
    </row>
    <row r="14" spans="1:3" x14ac:dyDescent="0.3">
      <c r="A14" s="2" t="s">
        <v>62</v>
      </c>
      <c r="B14" s="99">
        <v>3100</v>
      </c>
      <c r="C14" s="20" t="s">
        <v>386</v>
      </c>
    </row>
    <row r="15" spans="1:3" x14ac:dyDescent="0.3">
      <c r="C15" s="20"/>
    </row>
    <row r="16" spans="1:3" x14ac:dyDescent="0.3">
      <c r="C16" s="20"/>
    </row>
    <row r="17" spans="3:3" x14ac:dyDescent="0.3">
      <c r="C17" s="20"/>
    </row>
    <row r="18" spans="3:3" x14ac:dyDescent="0.3">
      <c r="C18" s="20"/>
    </row>
    <row r="19" spans="3:3" x14ac:dyDescent="0.3">
      <c r="C19" s="20"/>
    </row>
    <row r="20" spans="3:3" x14ac:dyDescent="0.3">
      <c r="C20" s="20"/>
    </row>
    <row r="21" spans="3:3" x14ac:dyDescent="0.3">
      <c r="C21" s="20"/>
    </row>
    <row r="22" spans="3:3" x14ac:dyDescent="0.3">
      <c r="C22" s="20"/>
    </row>
    <row r="23" spans="3:3" x14ac:dyDescent="0.3">
      <c r="C23" s="20"/>
    </row>
    <row r="24" spans="3:3" x14ac:dyDescent="0.3">
      <c r="C24" s="20"/>
    </row>
    <row r="25" spans="3:3" x14ac:dyDescent="0.3">
      <c r="C25" s="20"/>
    </row>
    <row r="26" spans="3:3" x14ac:dyDescent="0.3">
      <c r="C26" s="20"/>
    </row>
    <row r="27" spans="3:3" x14ac:dyDescent="0.3">
      <c r="C27" s="20"/>
    </row>
    <row r="28" spans="3:3" x14ac:dyDescent="0.3">
      <c r="C28" s="20"/>
    </row>
    <row r="29" spans="3:3" x14ac:dyDescent="0.3">
      <c r="C29" s="20"/>
    </row>
    <row r="30" spans="3:3" x14ac:dyDescent="0.3">
      <c r="C30" s="20"/>
    </row>
    <row r="31" spans="3:3" x14ac:dyDescent="0.3">
      <c r="C31" s="20"/>
    </row>
    <row r="32" spans="3:3" x14ac:dyDescent="0.3">
      <c r="C32" s="20"/>
    </row>
    <row r="33" spans="3:3" x14ac:dyDescent="0.3">
      <c r="C33" s="20"/>
    </row>
    <row r="34" spans="3:3" x14ac:dyDescent="0.3">
      <c r="C34" s="20"/>
    </row>
    <row r="35" spans="3:3" x14ac:dyDescent="0.3">
      <c r="C35" s="20"/>
    </row>
    <row r="36" spans="3:3" x14ac:dyDescent="0.3">
      <c r="C36" s="20"/>
    </row>
    <row r="37" spans="3:3" x14ac:dyDescent="0.3">
      <c r="C37" s="20"/>
    </row>
    <row r="38" spans="3:3" x14ac:dyDescent="0.3">
      <c r="C38" s="20"/>
    </row>
    <row r="39" spans="3:3" x14ac:dyDescent="0.3">
      <c r="C39" s="20"/>
    </row>
    <row r="40" spans="3:3" x14ac:dyDescent="0.3">
      <c r="C40" s="20"/>
    </row>
    <row r="41" spans="3:3" x14ac:dyDescent="0.3">
      <c r="C41" s="20"/>
    </row>
    <row r="42" spans="3:3" x14ac:dyDescent="0.3">
      <c r="C42" s="20"/>
    </row>
    <row r="43" spans="3:3" x14ac:dyDescent="0.3">
      <c r="C43" s="20"/>
    </row>
    <row r="44" spans="3:3" x14ac:dyDescent="0.3">
      <c r="C44" s="20"/>
    </row>
    <row r="45" spans="3:3" x14ac:dyDescent="0.3">
      <c r="C45" s="20"/>
    </row>
    <row r="46" spans="3:3" x14ac:dyDescent="0.3">
      <c r="C46" s="20"/>
    </row>
    <row r="47" spans="3:3" x14ac:dyDescent="0.3">
      <c r="C47" s="20"/>
    </row>
    <row r="48" spans="3:3" x14ac:dyDescent="0.3">
      <c r="C48" s="20"/>
    </row>
    <row r="49" spans="3:3" x14ac:dyDescent="0.3">
      <c r="C49" s="20"/>
    </row>
    <row r="50" spans="3:3" x14ac:dyDescent="0.3">
      <c r="C50" s="20"/>
    </row>
    <row r="51" spans="3:3" x14ac:dyDescent="0.3">
      <c r="C51" s="20"/>
    </row>
    <row r="52" spans="3:3" x14ac:dyDescent="0.3">
      <c r="C52" s="20"/>
    </row>
    <row r="53" spans="3:3" x14ac:dyDescent="0.3">
      <c r="C53" s="20"/>
    </row>
    <row r="54" spans="3:3" x14ac:dyDescent="0.3">
      <c r="C54" s="20"/>
    </row>
    <row r="55" spans="3:3" x14ac:dyDescent="0.3">
      <c r="C55" s="20"/>
    </row>
    <row r="56" spans="3:3" x14ac:dyDescent="0.3">
      <c r="C56" s="20"/>
    </row>
    <row r="57" spans="3:3" x14ac:dyDescent="0.3">
      <c r="C57" s="20"/>
    </row>
    <row r="58" spans="3:3" x14ac:dyDescent="0.3">
      <c r="C58" s="20"/>
    </row>
    <row r="59" spans="3:3" x14ac:dyDescent="0.3">
      <c r="C59" s="20"/>
    </row>
    <row r="60" spans="3:3" x14ac:dyDescent="0.3">
      <c r="C60" s="20"/>
    </row>
    <row r="61" spans="3:3" x14ac:dyDescent="0.3">
      <c r="C61" s="20"/>
    </row>
    <row r="62" spans="3:3" x14ac:dyDescent="0.3">
      <c r="C62" s="20"/>
    </row>
    <row r="63" spans="3:3" x14ac:dyDescent="0.3">
      <c r="C63" s="20"/>
    </row>
    <row r="64" spans="3:3" x14ac:dyDescent="0.3">
      <c r="C64" s="20"/>
    </row>
    <row r="65" spans="3:3" x14ac:dyDescent="0.3">
      <c r="C65" s="20"/>
    </row>
    <row r="66" spans="3:3" x14ac:dyDescent="0.3">
      <c r="C66" s="20"/>
    </row>
    <row r="67" spans="3:3" x14ac:dyDescent="0.3">
      <c r="C67" s="20"/>
    </row>
    <row r="68" spans="3:3" x14ac:dyDescent="0.3">
      <c r="C68" s="20"/>
    </row>
    <row r="69" spans="3:3" x14ac:dyDescent="0.3">
      <c r="C69" s="20"/>
    </row>
    <row r="70" spans="3:3" x14ac:dyDescent="0.3">
      <c r="C70" s="20"/>
    </row>
    <row r="71" spans="3:3" x14ac:dyDescent="0.3">
      <c r="C71" s="20"/>
    </row>
    <row r="72" spans="3:3" x14ac:dyDescent="0.3">
      <c r="C72" s="20"/>
    </row>
    <row r="73" spans="3:3" x14ac:dyDescent="0.3">
      <c r="C73" s="20"/>
    </row>
    <row r="74" spans="3:3" x14ac:dyDescent="0.3">
      <c r="C74" s="20"/>
    </row>
    <row r="75" spans="3:3" x14ac:dyDescent="0.3">
      <c r="C75" s="20"/>
    </row>
    <row r="76" spans="3:3" x14ac:dyDescent="0.3">
      <c r="C76" s="20"/>
    </row>
    <row r="77" spans="3:3" x14ac:dyDescent="0.3">
      <c r="C77" s="20"/>
    </row>
    <row r="78" spans="3:3" x14ac:dyDescent="0.3">
      <c r="C78" s="20"/>
    </row>
    <row r="79" spans="3:3" x14ac:dyDescent="0.3">
      <c r="C79" s="20"/>
    </row>
    <row r="80" spans="3:3" x14ac:dyDescent="0.3">
      <c r="C80" s="20"/>
    </row>
    <row r="81" spans="3:3" x14ac:dyDescent="0.3">
      <c r="C81" s="20"/>
    </row>
    <row r="82" spans="3:3" x14ac:dyDescent="0.3">
      <c r="C82" s="20"/>
    </row>
    <row r="83" spans="3:3" x14ac:dyDescent="0.3">
      <c r="C83" s="20"/>
    </row>
    <row r="84" spans="3:3" x14ac:dyDescent="0.3">
      <c r="C84" s="20"/>
    </row>
    <row r="85" spans="3:3" x14ac:dyDescent="0.3">
      <c r="C85" s="20"/>
    </row>
    <row r="86" spans="3:3" x14ac:dyDescent="0.3">
      <c r="C86" s="20"/>
    </row>
    <row r="87" spans="3:3" x14ac:dyDescent="0.3">
      <c r="C87" s="20"/>
    </row>
    <row r="88" spans="3:3" x14ac:dyDescent="0.3">
      <c r="C88" s="20"/>
    </row>
    <row r="89" spans="3:3" x14ac:dyDescent="0.3">
      <c r="C89" s="20"/>
    </row>
    <row r="90" spans="3:3" x14ac:dyDescent="0.3">
      <c r="C90" s="20"/>
    </row>
    <row r="91" spans="3:3" x14ac:dyDescent="0.3">
      <c r="C91" s="20"/>
    </row>
    <row r="92" spans="3:3" x14ac:dyDescent="0.3">
      <c r="C92" s="20"/>
    </row>
    <row r="93" spans="3:3" x14ac:dyDescent="0.3">
      <c r="C93" s="20"/>
    </row>
    <row r="94" spans="3:3" x14ac:dyDescent="0.3">
      <c r="C94" s="20"/>
    </row>
    <row r="95" spans="3:3" x14ac:dyDescent="0.3">
      <c r="C95" s="20"/>
    </row>
    <row r="96" spans="3:3" x14ac:dyDescent="0.3">
      <c r="C96" s="20"/>
    </row>
    <row r="97" spans="3:3" x14ac:dyDescent="0.3">
      <c r="C97" s="20"/>
    </row>
    <row r="98" spans="3:3" x14ac:dyDescent="0.3">
      <c r="C98" s="20"/>
    </row>
    <row r="99" spans="3:3" x14ac:dyDescent="0.3">
      <c r="C99" s="20"/>
    </row>
    <row r="100" spans="3:3" x14ac:dyDescent="0.3">
      <c r="C100" s="20"/>
    </row>
    <row r="101" spans="3:3" x14ac:dyDescent="0.3">
      <c r="C101" s="20"/>
    </row>
    <row r="102" spans="3:3" x14ac:dyDescent="0.3">
      <c r="C102" s="20"/>
    </row>
    <row r="103" spans="3:3" x14ac:dyDescent="0.3">
      <c r="C103" s="20"/>
    </row>
    <row r="104" spans="3:3" x14ac:dyDescent="0.3">
      <c r="C104" s="20"/>
    </row>
    <row r="105" spans="3:3" x14ac:dyDescent="0.3">
      <c r="C105" s="20"/>
    </row>
    <row r="106" spans="3:3" x14ac:dyDescent="0.3">
      <c r="C106" s="20"/>
    </row>
    <row r="107" spans="3:3" x14ac:dyDescent="0.3">
      <c r="C107" s="20"/>
    </row>
    <row r="108" spans="3:3" x14ac:dyDescent="0.3">
      <c r="C108" s="20"/>
    </row>
    <row r="109" spans="3:3" x14ac:dyDescent="0.3">
      <c r="C109" s="20"/>
    </row>
    <row r="110" spans="3:3" x14ac:dyDescent="0.3">
      <c r="C110" s="20"/>
    </row>
    <row r="111" spans="3:3" x14ac:dyDescent="0.3">
      <c r="C111" s="20"/>
    </row>
    <row r="112" spans="3:3" x14ac:dyDescent="0.3">
      <c r="C112" s="20"/>
    </row>
    <row r="113" spans="3:3" x14ac:dyDescent="0.3">
      <c r="C113" s="20"/>
    </row>
    <row r="114" spans="3:3" x14ac:dyDescent="0.3">
      <c r="C114" s="20"/>
    </row>
    <row r="115" spans="3:3" x14ac:dyDescent="0.3">
      <c r="C115" s="20"/>
    </row>
    <row r="116" spans="3:3" x14ac:dyDescent="0.3">
      <c r="C116" s="20"/>
    </row>
    <row r="117" spans="3:3" x14ac:dyDescent="0.3">
      <c r="C117" s="20"/>
    </row>
    <row r="118" spans="3:3" x14ac:dyDescent="0.3">
      <c r="C118" s="20"/>
    </row>
    <row r="119" spans="3:3" x14ac:dyDescent="0.3">
      <c r="C119" s="20"/>
    </row>
    <row r="120" spans="3:3" x14ac:dyDescent="0.3">
      <c r="C120" s="20"/>
    </row>
    <row r="121" spans="3:3" x14ac:dyDescent="0.3">
      <c r="C121" s="20"/>
    </row>
    <row r="122" spans="3:3" x14ac:dyDescent="0.3">
      <c r="C122" s="20"/>
    </row>
    <row r="123" spans="3:3" x14ac:dyDescent="0.3">
      <c r="C123" s="20"/>
    </row>
    <row r="124" spans="3:3" x14ac:dyDescent="0.3">
      <c r="C124" s="20"/>
    </row>
    <row r="125" spans="3:3" x14ac:dyDescent="0.3">
      <c r="C125" s="20"/>
    </row>
    <row r="126" spans="3:3" x14ac:dyDescent="0.3">
      <c r="C126" s="20"/>
    </row>
    <row r="127" spans="3:3" x14ac:dyDescent="0.3">
      <c r="C127" s="20"/>
    </row>
    <row r="128" spans="3:3" x14ac:dyDescent="0.3">
      <c r="C128" s="20"/>
    </row>
    <row r="129" spans="3:3" x14ac:dyDescent="0.3">
      <c r="C129" s="20"/>
    </row>
    <row r="130" spans="3:3" x14ac:dyDescent="0.3">
      <c r="C130" s="20"/>
    </row>
    <row r="131" spans="3:3" x14ac:dyDescent="0.3">
      <c r="C131" s="20"/>
    </row>
    <row r="132" spans="3:3" x14ac:dyDescent="0.3">
      <c r="C132" s="20"/>
    </row>
    <row r="133" spans="3:3" x14ac:dyDescent="0.3">
      <c r="C133" s="20"/>
    </row>
    <row r="134" spans="3:3" x14ac:dyDescent="0.3">
      <c r="C134" s="20"/>
    </row>
    <row r="135" spans="3:3" x14ac:dyDescent="0.3">
      <c r="C135" s="20"/>
    </row>
    <row r="136" spans="3:3" x14ac:dyDescent="0.3">
      <c r="C136" s="20"/>
    </row>
    <row r="137" spans="3:3" x14ac:dyDescent="0.3">
      <c r="C137" s="20"/>
    </row>
    <row r="138" spans="3:3" x14ac:dyDescent="0.3">
      <c r="C138" s="20"/>
    </row>
    <row r="139" spans="3:3" x14ac:dyDescent="0.3">
      <c r="C139" s="20"/>
    </row>
    <row r="140" spans="3:3" x14ac:dyDescent="0.3">
      <c r="C140" s="20"/>
    </row>
    <row r="141" spans="3:3" x14ac:dyDescent="0.3">
      <c r="C141" s="20"/>
    </row>
    <row r="142" spans="3:3" x14ac:dyDescent="0.3">
      <c r="C142" s="20"/>
    </row>
    <row r="143" spans="3:3" x14ac:dyDescent="0.3">
      <c r="C143" s="20"/>
    </row>
    <row r="144" spans="3:3" x14ac:dyDescent="0.3">
      <c r="C144" s="20"/>
    </row>
    <row r="145" spans="3:3" x14ac:dyDescent="0.3">
      <c r="C145" s="20"/>
    </row>
    <row r="146" spans="3:3" x14ac:dyDescent="0.3">
      <c r="C146" s="20"/>
    </row>
    <row r="147" spans="3:3" x14ac:dyDescent="0.3">
      <c r="C147" s="20"/>
    </row>
    <row r="148" spans="3:3" x14ac:dyDescent="0.3">
      <c r="C148" s="20"/>
    </row>
    <row r="149" spans="3:3" x14ac:dyDescent="0.3">
      <c r="C149" s="20"/>
    </row>
    <row r="150" spans="3:3" x14ac:dyDescent="0.3">
      <c r="C150" s="20"/>
    </row>
    <row r="151" spans="3:3" x14ac:dyDescent="0.3">
      <c r="C151" s="20"/>
    </row>
    <row r="152" spans="3:3" x14ac:dyDescent="0.3">
      <c r="C152" s="20"/>
    </row>
    <row r="153" spans="3:3" x14ac:dyDescent="0.3">
      <c r="C153" s="20"/>
    </row>
    <row r="154" spans="3:3" x14ac:dyDescent="0.3">
      <c r="C154" s="20"/>
    </row>
    <row r="155" spans="3:3" x14ac:dyDescent="0.3">
      <c r="C155" s="20"/>
    </row>
    <row r="156" spans="3:3" x14ac:dyDescent="0.3">
      <c r="C156" s="20"/>
    </row>
    <row r="157" spans="3:3" x14ac:dyDescent="0.3">
      <c r="C157" s="20"/>
    </row>
    <row r="158" spans="3:3" x14ac:dyDescent="0.3">
      <c r="C158" s="20"/>
    </row>
    <row r="159" spans="3:3" x14ac:dyDescent="0.3">
      <c r="C159" s="20"/>
    </row>
    <row r="160" spans="3:3" x14ac:dyDescent="0.3">
      <c r="C160" s="20"/>
    </row>
    <row r="161" spans="3:3" x14ac:dyDescent="0.3">
      <c r="C161" s="20"/>
    </row>
    <row r="162" spans="3:3" x14ac:dyDescent="0.3">
      <c r="C162" s="20"/>
    </row>
    <row r="163" spans="3:3" x14ac:dyDescent="0.3">
      <c r="C163" s="20"/>
    </row>
    <row r="164" spans="3:3" x14ac:dyDescent="0.3">
      <c r="C164" s="20"/>
    </row>
    <row r="165" spans="3:3" x14ac:dyDescent="0.3">
      <c r="C165" s="20"/>
    </row>
    <row r="166" spans="3:3" x14ac:dyDescent="0.3">
      <c r="C166" s="20"/>
    </row>
    <row r="167" spans="3:3" x14ac:dyDescent="0.3">
      <c r="C167" s="20"/>
    </row>
    <row r="168" spans="3:3" x14ac:dyDescent="0.3">
      <c r="C168" s="20"/>
    </row>
    <row r="169" spans="3:3" x14ac:dyDescent="0.3">
      <c r="C169" s="20"/>
    </row>
    <row r="170" spans="3:3" x14ac:dyDescent="0.3">
      <c r="C170" s="20"/>
    </row>
    <row r="171" spans="3:3" x14ac:dyDescent="0.3">
      <c r="C171" s="20"/>
    </row>
    <row r="172" spans="3:3" x14ac:dyDescent="0.3">
      <c r="C172" s="20"/>
    </row>
    <row r="173" spans="3:3" x14ac:dyDescent="0.3">
      <c r="C173" s="20"/>
    </row>
    <row r="174" spans="3:3" x14ac:dyDescent="0.3">
      <c r="C174" s="20"/>
    </row>
    <row r="175" spans="3:3" x14ac:dyDescent="0.3">
      <c r="C175" s="20"/>
    </row>
    <row r="176" spans="3:3" x14ac:dyDescent="0.3">
      <c r="C176" s="20"/>
    </row>
    <row r="177" spans="3:3" x14ac:dyDescent="0.3">
      <c r="C177" s="20"/>
    </row>
    <row r="178" spans="3:3" x14ac:dyDescent="0.3">
      <c r="C178" s="20"/>
    </row>
    <row r="179" spans="3:3" x14ac:dyDescent="0.3">
      <c r="C179" s="20"/>
    </row>
    <row r="180" spans="3:3" x14ac:dyDescent="0.3">
      <c r="C180" s="20"/>
    </row>
    <row r="181" spans="3:3" x14ac:dyDescent="0.3">
      <c r="C181" s="20"/>
    </row>
    <row r="182" spans="3:3" x14ac:dyDescent="0.3">
      <c r="C182" s="20"/>
    </row>
    <row r="183" spans="3:3" x14ac:dyDescent="0.3">
      <c r="C183" s="20"/>
    </row>
    <row r="184" spans="3:3" x14ac:dyDescent="0.3">
      <c r="C184" s="20"/>
    </row>
    <row r="185" spans="3:3" x14ac:dyDescent="0.3">
      <c r="C185" s="20"/>
    </row>
    <row r="186" spans="3:3" x14ac:dyDescent="0.3">
      <c r="C186" s="20"/>
    </row>
    <row r="187" spans="3:3" x14ac:dyDescent="0.3">
      <c r="C187" s="20"/>
    </row>
    <row r="188" spans="3:3" x14ac:dyDescent="0.3">
      <c r="C188" s="20"/>
    </row>
    <row r="189" spans="3:3" x14ac:dyDescent="0.3">
      <c r="C189" s="20"/>
    </row>
    <row r="190" spans="3:3" x14ac:dyDescent="0.3">
      <c r="C190" s="20"/>
    </row>
    <row r="191" spans="3:3" x14ac:dyDescent="0.3">
      <c r="C191" s="20"/>
    </row>
    <row r="192" spans="3:3" x14ac:dyDescent="0.3">
      <c r="C192" s="20"/>
    </row>
    <row r="193" spans="3:3" x14ac:dyDescent="0.3">
      <c r="C193" s="20"/>
    </row>
    <row r="194" spans="3:3" x14ac:dyDescent="0.3">
      <c r="C194" s="20"/>
    </row>
    <row r="195" spans="3:3" x14ac:dyDescent="0.3">
      <c r="C195" s="20"/>
    </row>
    <row r="196" spans="3:3" x14ac:dyDescent="0.3">
      <c r="C196" s="20"/>
    </row>
    <row r="197" spans="3:3" x14ac:dyDescent="0.3">
      <c r="C197" s="20"/>
    </row>
    <row r="198" spans="3:3" x14ac:dyDescent="0.3">
      <c r="C198" s="20"/>
    </row>
    <row r="199" spans="3:3" x14ac:dyDescent="0.3">
      <c r="C199" s="20"/>
    </row>
    <row r="200" spans="3:3" x14ac:dyDescent="0.3">
      <c r="C200" s="20"/>
    </row>
    <row r="201" spans="3:3" x14ac:dyDescent="0.3">
      <c r="C201" s="20"/>
    </row>
    <row r="202" spans="3:3" x14ac:dyDescent="0.3">
      <c r="C202" s="20"/>
    </row>
    <row r="203" spans="3:3" x14ac:dyDescent="0.3">
      <c r="C203" s="20"/>
    </row>
    <row r="204" spans="3:3" x14ac:dyDescent="0.3">
      <c r="C204" s="20"/>
    </row>
    <row r="205" spans="3:3" x14ac:dyDescent="0.3">
      <c r="C205" s="20"/>
    </row>
    <row r="206" spans="3:3" x14ac:dyDescent="0.3">
      <c r="C206" s="20"/>
    </row>
    <row r="207" spans="3:3" x14ac:dyDescent="0.3">
      <c r="C207" s="20"/>
    </row>
    <row r="208" spans="3:3" x14ac:dyDescent="0.3">
      <c r="C208" s="20"/>
    </row>
    <row r="209" spans="3:3" x14ac:dyDescent="0.3">
      <c r="C209" s="20"/>
    </row>
    <row r="210" spans="3:3" x14ac:dyDescent="0.3">
      <c r="C210" s="20"/>
    </row>
    <row r="211" spans="3:3" x14ac:dyDescent="0.3">
      <c r="C211" s="20"/>
    </row>
    <row r="212" spans="3:3" x14ac:dyDescent="0.3">
      <c r="C212" s="20"/>
    </row>
    <row r="213" spans="3:3" x14ac:dyDescent="0.3">
      <c r="C213" s="20"/>
    </row>
    <row r="214" spans="3:3" x14ac:dyDescent="0.3">
      <c r="C214" s="20"/>
    </row>
    <row r="215" spans="3:3" x14ac:dyDescent="0.3">
      <c r="C215" s="20"/>
    </row>
    <row r="216" spans="3:3" x14ac:dyDescent="0.3">
      <c r="C216" s="20"/>
    </row>
    <row r="217" spans="3:3" x14ac:dyDescent="0.3">
      <c r="C217" s="20"/>
    </row>
    <row r="218" spans="3:3" x14ac:dyDescent="0.3">
      <c r="C218" s="20"/>
    </row>
    <row r="219" spans="3:3" x14ac:dyDescent="0.3">
      <c r="C219" s="20"/>
    </row>
    <row r="220" spans="3:3" x14ac:dyDescent="0.3">
      <c r="C220" s="20"/>
    </row>
    <row r="221" spans="3:3" x14ac:dyDescent="0.3">
      <c r="C221" s="20"/>
    </row>
    <row r="222" spans="3:3" x14ac:dyDescent="0.3">
      <c r="C222" s="20"/>
    </row>
    <row r="223" spans="3:3" x14ac:dyDescent="0.3">
      <c r="C223" s="20"/>
    </row>
    <row r="224" spans="3:3" x14ac:dyDescent="0.3">
      <c r="C224" s="20"/>
    </row>
    <row r="225" spans="3:3" x14ac:dyDescent="0.3">
      <c r="C225" s="20"/>
    </row>
    <row r="226" spans="3:3" x14ac:dyDescent="0.3">
      <c r="C226" s="20"/>
    </row>
    <row r="227" spans="3:3" x14ac:dyDescent="0.3">
      <c r="C227" s="20"/>
    </row>
    <row r="228" spans="3:3" x14ac:dyDescent="0.3">
      <c r="C228" s="20"/>
    </row>
    <row r="229" spans="3:3" x14ac:dyDescent="0.3">
      <c r="C229" s="20"/>
    </row>
    <row r="230" spans="3:3" x14ac:dyDescent="0.3">
      <c r="C230" s="20"/>
    </row>
    <row r="231" spans="3:3" x14ac:dyDescent="0.3">
      <c r="C231" s="20"/>
    </row>
    <row r="232" spans="3:3" x14ac:dyDescent="0.3">
      <c r="C232" s="20"/>
    </row>
    <row r="233" spans="3:3" x14ac:dyDescent="0.3">
      <c r="C233" s="20"/>
    </row>
    <row r="234" spans="3:3" x14ac:dyDescent="0.3">
      <c r="C234" s="20"/>
    </row>
    <row r="235" spans="3:3" x14ac:dyDescent="0.3">
      <c r="C235" s="20"/>
    </row>
    <row r="236" spans="3:3" x14ac:dyDescent="0.3">
      <c r="C236" s="20"/>
    </row>
    <row r="237" spans="3:3" x14ac:dyDescent="0.3">
      <c r="C237" s="20"/>
    </row>
    <row r="238" spans="3:3" x14ac:dyDescent="0.3">
      <c r="C238" s="20"/>
    </row>
    <row r="239" spans="3:3" x14ac:dyDescent="0.3">
      <c r="C239" s="20"/>
    </row>
    <row r="240" spans="3:3" x14ac:dyDescent="0.3">
      <c r="C240" s="20"/>
    </row>
    <row r="241" spans="3:3" x14ac:dyDescent="0.3">
      <c r="C241" s="20"/>
    </row>
    <row r="242" spans="3:3" x14ac:dyDescent="0.3">
      <c r="C242" s="20"/>
    </row>
    <row r="243" spans="3:3" x14ac:dyDescent="0.3">
      <c r="C243" s="20"/>
    </row>
    <row r="244" spans="3:3" x14ac:dyDescent="0.3">
      <c r="C244" s="20"/>
    </row>
    <row r="245" spans="3:3" x14ac:dyDescent="0.3">
      <c r="C245" s="20"/>
    </row>
    <row r="246" spans="3:3" x14ac:dyDescent="0.3">
      <c r="C246" s="20"/>
    </row>
    <row r="247" spans="3:3" x14ac:dyDescent="0.3">
      <c r="C247" s="20"/>
    </row>
    <row r="248" spans="3:3" x14ac:dyDescent="0.3">
      <c r="C248" s="20"/>
    </row>
    <row r="249" spans="3:3" x14ac:dyDescent="0.3">
      <c r="C249" s="20"/>
    </row>
  </sheetData>
  <sheetProtection algorithmName="SHA-512" hashValue="JPh8QZp+iNzRZM1JLC2f3BxkG6vCbZQffUQspR2+7qzzpd6Zsm2PmD6WX2t9qkF0fqeBmuaIWjAlDKuw5qHIVA==" saltValue="ct5Hz9GK53sIvrOPsvD+Ow==" spinCount="100000" sheet="1" objects="1" scenarios="1"/>
  <sortState xmlns:xlrd2="http://schemas.microsoft.com/office/spreadsheetml/2017/richdata2" ref="A10:C14">
    <sortCondition ref="A10:A1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6493c6-b0d9-4c23-be2c-31731e07b56d" xsi:nil="true"/>
    <lcf76f155ced4ddcb4097134ff3c332f xmlns="03554260-3047-4fc6-8453-c7d49ec02e2a">
      <Terms xmlns="http://schemas.microsoft.com/office/infopath/2007/PartnerControls"/>
    </lcf76f155ced4ddcb4097134ff3c332f>
    <Youtubelinks xmlns="03554260-3047-4fc6-8453-c7d49ec02e2a">
      <Url xsi:nil="true"/>
      <Description xsi:nil="true"/>
    </Youtubelink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309F05FD4EA24EB4AF967E34735821" ma:contentTypeVersion="18" ma:contentTypeDescription="Een nieuw document maken." ma:contentTypeScope="" ma:versionID="f93b0f1a6fc03e36e4f1982b1e2da45c">
  <xsd:schema xmlns:xsd="http://www.w3.org/2001/XMLSchema" xmlns:xs="http://www.w3.org/2001/XMLSchema" xmlns:p="http://schemas.microsoft.com/office/2006/metadata/properties" xmlns:ns2="03554260-3047-4fc6-8453-c7d49ec02e2a" xmlns:ns3="c86493c6-b0d9-4c23-be2c-31731e07b56d" targetNamespace="http://schemas.microsoft.com/office/2006/metadata/properties" ma:root="true" ma:fieldsID="a691e384a37ff65b6d5f48911e1a27a6" ns2:_="" ns3:_="">
    <xsd:import namespace="03554260-3047-4fc6-8453-c7d49ec02e2a"/>
    <xsd:import namespace="c86493c6-b0d9-4c23-be2c-31731e07b56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DateTaken" minOccurs="0"/>
                <xsd:element ref="ns2:MediaLengthInSeconds" minOccurs="0"/>
                <xsd:element ref="ns2:MediaServiceLocation" minOccurs="0"/>
                <xsd:element ref="ns2:Youtubelink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4260-3047-4fc6-8453-c7d49ec02e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Afbeeldingtags" ma:readOnly="false" ma:fieldId="{5cf76f15-5ced-4ddc-b409-7134ff3c332f}" ma:taxonomyMulti="true" ma:sspId="11c5d032-4d3a-4e32-a133-a877f2adec25"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Youtubelinks" ma:index="23" nillable="true" ma:displayName="YL" ma:format="Hyperlink" ma:internalName="Youtubelinks">
      <xsd:complexType>
        <xsd:complexContent>
          <xsd:extension base="dms:URL">
            <xsd:sequence>
              <xsd:element name="Url" type="dms:ValidUrl" minOccurs="0" nillable="true"/>
              <xsd:element name="Description" type="xsd:string" nillable="true"/>
            </xsd:sequence>
          </xsd:extension>
        </xsd:complexContent>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6493c6-b0d9-4c23-be2c-31731e07b56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938a457-6603-49f9-8242-19f8ae8c7dcd}" ma:internalName="TaxCatchAll" ma:showField="CatchAllData" ma:web="c86493c6-b0d9-4c23-be2c-31731e07b56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F67C5A-8BA8-47DE-B8CF-57D149D6809B}">
  <ds:schemaRefs>
    <ds:schemaRef ds:uri="http://schemas.microsoft.com/office/2006/metadata/properties"/>
    <ds:schemaRef ds:uri="http://schemas.microsoft.com/office/infopath/2007/PartnerControls"/>
    <ds:schemaRef ds:uri="http://purl.org/dc/terms/"/>
    <ds:schemaRef ds:uri="03554260-3047-4fc6-8453-c7d49ec02e2a"/>
    <ds:schemaRef ds:uri="http://purl.org/dc/elements/1.1/"/>
    <ds:schemaRef ds:uri="http://schemas.microsoft.com/office/2006/documentManagement/types"/>
    <ds:schemaRef ds:uri="http://www.w3.org/XML/1998/namespace"/>
    <ds:schemaRef ds:uri="http://schemas.openxmlformats.org/package/2006/metadata/core-properties"/>
    <ds:schemaRef ds:uri="c86493c6-b0d9-4c23-be2c-31731e07b56d"/>
    <ds:schemaRef ds:uri="http://purl.org/dc/dcmitype/"/>
  </ds:schemaRefs>
</ds:datastoreItem>
</file>

<file path=customXml/itemProps2.xml><?xml version="1.0" encoding="utf-8"?>
<ds:datastoreItem xmlns:ds="http://schemas.openxmlformats.org/officeDocument/2006/customXml" ds:itemID="{928FECBA-08EA-438A-BF4E-F861F481721F}">
  <ds:schemaRefs>
    <ds:schemaRef ds:uri="http://schemas.microsoft.com/sharepoint/v3/contenttype/forms"/>
  </ds:schemaRefs>
</ds:datastoreItem>
</file>

<file path=customXml/itemProps3.xml><?xml version="1.0" encoding="utf-8"?>
<ds:datastoreItem xmlns:ds="http://schemas.openxmlformats.org/officeDocument/2006/customXml" ds:itemID="{7DBEA0D9-8954-48B7-BF63-13EBC9A172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4260-3047-4fc6-8453-c7d49ec02e2a"/>
    <ds:schemaRef ds:uri="c86493c6-b0d9-4c23-be2c-31731e07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toelichting</vt:lpstr>
      <vt:lpstr>invoer_aanpakken</vt:lpstr>
      <vt:lpstr>invoer_woningen</vt:lpstr>
      <vt:lpstr>resultaat</vt:lpstr>
      <vt:lpstr>kengetallen_woningen</vt:lpstr>
      <vt:lpstr>kengetallen_materialen</vt:lpstr>
      <vt:lpstr>kengetallen_energielasten</vt:lpstr>
      <vt:lpstr>bijlage - huishoudelijk gebruik</vt:lpstr>
      <vt:lpstr>Bouwdeel</vt:lpstr>
      <vt:lpstr>Dakisolatie</vt:lpstr>
      <vt:lpstr>Duurzame_energie_opwekker</vt:lpstr>
      <vt:lpstr>Gevelisolatie</vt:lpstr>
      <vt:lpstr>Isolatieglas</vt:lpstr>
      <vt:lpstr>Koudemiddel</vt:lpstr>
      <vt:lpstr>Kozijn</vt:lpstr>
      <vt:lpstr>Verwarmingsinstallatie</vt:lpstr>
      <vt:lpstr>Vloer_of_Bodemisolatie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Marten Witkamp</dc:creator>
  <cp:keywords/>
  <dc:description/>
  <cp:lastModifiedBy>Marten Witkamp</cp:lastModifiedBy>
  <cp:revision/>
  <dcterms:created xsi:type="dcterms:W3CDTF">2023-08-14T08:21:14Z</dcterms:created>
  <dcterms:modified xsi:type="dcterms:W3CDTF">2024-09-13T13:06:45Z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0x010100B6309F05FD4EA24EB4AF967E34735821</vt:lpwstr>
  </property>
  <property fmtid="{D5CDD505-2E9C-101B-9397-08002B2CF9AE}" pid="3" name="MediaServiceImageTags">
    <vt:lpwstr/>
  </property>
</Properties>
</file>